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A Secretaria General 2024\SERVIASEAMOS\PAGO ABRIL 2024\"/>
    </mc:Choice>
  </mc:AlternateContent>
  <bookViews>
    <workbookView xWindow="0" yWindow="0" windowWidth="13440" windowHeight="11730" tabRatio="831" activeTab="3"/>
  </bookViews>
  <sheets>
    <sheet name="ENTREGA MAQUINARIA " sheetId="14" r:id="rId1"/>
    <sheet name="PERSONAL " sheetId="18" r:id="rId2"/>
    <sheet name="insumos abril " sheetId="22" r:id="rId3"/>
    <sheet name="PERSONAL rev SS Danna" sheetId="20" r:id="rId4"/>
    <sheet name="ENTREGA EN MAquinaria" sheetId="15" r:id="rId5"/>
    <sheet name="centro de costos " sheetId="25" r:id="rId6"/>
    <sheet name="liquidacion de personal Danna" sheetId="21" r:id="rId7"/>
    <sheet name="INSUMOS A CORREGIR" sheetId="23" r:id="rId8"/>
    <sheet name="Factura rubros" sheetId="26" r:id="rId9"/>
    <sheet name="rubros" sheetId="24" r:id="rId10"/>
  </sheets>
  <externalReferences>
    <externalReference r:id="rId11"/>
  </externalReferences>
  <definedNames>
    <definedName name="_xlnm._FilterDatabase" localSheetId="4" hidden="1">'ENTREGA EN MAquinaria'!$C$1:$K$330</definedName>
    <definedName name="_xlnm._FilterDatabase" localSheetId="0" hidden="1">'ENTREGA MAQUINARIA '!$A$4:$AO$32</definedName>
    <definedName name="_xlnm._FilterDatabase" localSheetId="8" hidden="1">'Factura rubros'!$A$1:$AB$45</definedName>
    <definedName name="_xlnm._FilterDatabase" localSheetId="7" hidden="1">'INSUMOS A CORREGIR'!$A$1:$AY$97</definedName>
    <definedName name="_xlnm._FilterDatabase" localSheetId="2" hidden="1">'insumos abril '!$A$1:$AL$406</definedName>
    <definedName name="_xlnm._FilterDatabase" localSheetId="3" hidden="1">'PERSONAL rev SS Danna'!$A$1:$P$197</definedName>
    <definedName name="_xlnm._FilterDatabase" localSheetId="9" hidden="1">rubros!$A$1:$H$47</definedName>
    <definedName name="PersonalTC">[1]Listas!$H$2:$H$11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25" l="1"/>
  <c r="O4" i="25"/>
  <c r="O5" i="25"/>
  <c r="O6" i="25"/>
  <c r="O7" i="25"/>
  <c r="O8" i="25"/>
  <c r="O9" i="25"/>
  <c r="O10" i="25"/>
  <c r="O11" i="25"/>
  <c r="O12" i="25"/>
  <c r="O13" i="25"/>
  <c r="O14" i="25"/>
  <c r="O15" i="25"/>
  <c r="O16" i="25"/>
  <c r="O17" i="25"/>
  <c r="O18" i="25"/>
  <c r="O19" i="25"/>
  <c r="O20" i="25"/>
  <c r="O21" i="25"/>
  <c r="O22" i="25"/>
  <c r="O23" i="25"/>
  <c r="O24" i="25"/>
  <c r="O25" i="25"/>
  <c r="O26" i="25"/>
  <c r="O2" i="25"/>
  <c r="D45" i="26"/>
  <c r="E45" i="26"/>
  <c r="F45" i="26"/>
  <c r="G45" i="26"/>
  <c r="H45" i="26"/>
  <c r="I45" i="26"/>
  <c r="J45" i="26"/>
  <c r="K45" i="26"/>
  <c r="L45" i="26"/>
  <c r="M45" i="26"/>
  <c r="N45" i="26"/>
  <c r="O45" i="26"/>
  <c r="P45" i="26"/>
  <c r="Q45" i="26"/>
  <c r="R45" i="26"/>
  <c r="S45" i="26"/>
  <c r="T45" i="26"/>
  <c r="U45" i="26"/>
  <c r="V45" i="26"/>
  <c r="W45" i="26"/>
  <c r="X45" i="26"/>
  <c r="Y45" i="26"/>
  <c r="Z45" i="26"/>
  <c r="AA45" i="26"/>
  <c r="AB45" i="26"/>
  <c r="C45" i="26"/>
  <c r="AB2" i="26"/>
  <c r="AX100" i="23"/>
  <c r="AX99" i="23"/>
  <c r="AW99" i="23"/>
  <c r="Z3" i="26"/>
  <c r="Y3" i="26"/>
  <c r="W3" i="26"/>
  <c r="V3" i="26"/>
  <c r="U3" i="26"/>
  <c r="T3" i="26"/>
  <c r="S3" i="26"/>
  <c r="R3" i="26"/>
  <c r="Q3" i="26"/>
  <c r="P3" i="26"/>
  <c r="O3" i="26"/>
  <c r="N3" i="26"/>
  <c r="M3" i="26"/>
  <c r="L3" i="26"/>
  <c r="K3" i="26"/>
  <c r="J3" i="26"/>
  <c r="I3" i="26"/>
  <c r="H3" i="26"/>
  <c r="G3" i="26"/>
  <c r="E3" i="26"/>
  <c r="D3" i="26"/>
  <c r="C3" i="26"/>
  <c r="P3" i="23"/>
  <c r="Q3" i="23" s="1"/>
  <c r="R3" i="23" s="1"/>
  <c r="P4" i="23"/>
  <c r="Q4" i="23" s="1"/>
  <c r="P5" i="23"/>
  <c r="Q5" i="23" s="1"/>
  <c r="P6" i="23"/>
  <c r="Q6" i="23" s="1"/>
  <c r="P7" i="23"/>
  <c r="Q7" i="23" s="1"/>
  <c r="P8" i="23"/>
  <c r="Q8" i="23" s="1"/>
  <c r="P9" i="23"/>
  <c r="Q9" i="23" s="1"/>
  <c r="P10" i="23"/>
  <c r="Q10" i="23" s="1"/>
  <c r="R10" i="23" s="1"/>
  <c r="P11" i="23"/>
  <c r="Q11" i="23" s="1"/>
  <c r="R11" i="23" s="1"/>
  <c r="P12" i="23"/>
  <c r="Q12" i="23" s="1"/>
  <c r="P13" i="23"/>
  <c r="Q13" i="23" s="1"/>
  <c r="P14" i="23"/>
  <c r="Q14" i="23" s="1"/>
  <c r="P15" i="23"/>
  <c r="Q15" i="23" s="1"/>
  <c r="P16" i="23"/>
  <c r="Q16" i="23" s="1"/>
  <c r="P17" i="23"/>
  <c r="P18" i="23"/>
  <c r="Q18" i="23" s="1"/>
  <c r="R18" i="23" s="1"/>
  <c r="P19" i="23"/>
  <c r="Q19" i="23" s="1"/>
  <c r="R19" i="23" s="1"/>
  <c r="P20" i="23"/>
  <c r="Q20" i="23" s="1"/>
  <c r="P21" i="23"/>
  <c r="Q21" i="23" s="1"/>
  <c r="P22" i="23"/>
  <c r="Q22" i="23" s="1"/>
  <c r="P23" i="23"/>
  <c r="Q23" i="23" s="1"/>
  <c r="P24" i="23"/>
  <c r="Q24" i="23" s="1"/>
  <c r="P25" i="23"/>
  <c r="P26" i="23"/>
  <c r="Q26" i="23" s="1"/>
  <c r="R26" i="23" s="1"/>
  <c r="P27" i="23"/>
  <c r="Q27" i="23" s="1"/>
  <c r="R27" i="23" s="1"/>
  <c r="P28" i="23"/>
  <c r="Q28" i="23" s="1"/>
  <c r="P29" i="23"/>
  <c r="Q29" i="23" s="1"/>
  <c r="P30" i="23"/>
  <c r="Q30" i="23" s="1"/>
  <c r="P31" i="23"/>
  <c r="Q31" i="23" s="1"/>
  <c r="P32" i="23"/>
  <c r="Q32" i="23" s="1"/>
  <c r="P33" i="23"/>
  <c r="Q33" i="23" s="1"/>
  <c r="P34" i="23"/>
  <c r="Q34" i="23" s="1"/>
  <c r="R34" i="23" s="1"/>
  <c r="P35" i="23"/>
  <c r="Q35" i="23" s="1"/>
  <c r="R35" i="23" s="1"/>
  <c r="P36" i="23"/>
  <c r="Q36" i="23" s="1"/>
  <c r="P37" i="23"/>
  <c r="Q37" i="23" s="1"/>
  <c r="P38" i="23"/>
  <c r="Q38" i="23" s="1"/>
  <c r="P39" i="23"/>
  <c r="Q39" i="23" s="1"/>
  <c r="P40" i="23"/>
  <c r="Q40" i="23" s="1"/>
  <c r="P41" i="23"/>
  <c r="Q41" i="23" s="1"/>
  <c r="P42" i="23"/>
  <c r="Q42" i="23" s="1"/>
  <c r="R42" i="23" s="1"/>
  <c r="P43" i="23"/>
  <c r="Q43" i="23" s="1"/>
  <c r="R43" i="23" s="1"/>
  <c r="P44" i="23"/>
  <c r="Q44" i="23" s="1"/>
  <c r="P45" i="23"/>
  <c r="Q45" i="23" s="1"/>
  <c r="P46" i="23"/>
  <c r="Q46" i="23" s="1"/>
  <c r="P47" i="23"/>
  <c r="Q47" i="23" s="1"/>
  <c r="P48" i="23"/>
  <c r="Q48" i="23" s="1"/>
  <c r="P49" i="23"/>
  <c r="P50" i="23"/>
  <c r="Q50" i="23" s="1"/>
  <c r="R50" i="23" s="1"/>
  <c r="P51" i="23"/>
  <c r="Q51" i="23" s="1"/>
  <c r="R51" i="23" s="1"/>
  <c r="P52" i="23"/>
  <c r="Q52" i="23" s="1"/>
  <c r="P53" i="23"/>
  <c r="Q53" i="23" s="1"/>
  <c r="P54" i="23"/>
  <c r="Q54" i="23" s="1"/>
  <c r="P55" i="23"/>
  <c r="Q55" i="23" s="1"/>
  <c r="P56" i="23"/>
  <c r="Q56" i="23" s="1"/>
  <c r="P57" i="23"/>
  <c r="Q57" i="23" s="1"/>
  <c r="P58" i="23"/>
  <c r="Q58" i="23" s="1"/>
  <c r="R58" i="23" s="1"/>
  <c r="P59" i="23"/>
  <c r="Q59" i="23" s="1"/>
  <c r="R59" i="23" s="1"/>
  <c r="P60" i="23"/>
  <c r="Q60" i="23" s="1"/>
  <c r="P61" i="23"/>
  <c r="Q61" i="23" s="1"/>
  <c r="P62" i="23"/>
  <c r="Q62" i="23" s="1"/>
  <c r="P63" i="23"/>
  <c r="Q63" i="23" s="1"/>
  <c r="P64" i="23"/>
  <c r="Q64" i="23" s="1"/>
  <c r="P65" i="23"/>
  <c r="Q65" i="23" s="1"/>
  <c r="P66" i="23"/>
  <c r="Q66" i="23" s="1"/>
  <c r="R66" i="23" s="1"/>
  <c r="P67" i="23"/>
  <c r="Q67" i="23" s="1"/>
  <c r="R67" i="23" s="1"/>
  <c r="P68" i="23"/>
  <c r="Q68" i="23" s="1"/>
  <c r="P69" i="23"/>
  <c r="Q69" i="23" s="1"/>
  <c r="P70" i="23"/>
  <c r="Q70" i="23" s="1"/>
  <c r="P71" i="23"/>
  <c r="Q71" i="23" s="1"/>
  <c r="P72" i="23"/>
  <c r="Q72" i="23" s="1"/>
  <c r="P73" i="23"/>
  <c r="Q73" i="23" s="1"/>
  <c r="P74" i="23"/>
  <c r="Q74" i="23" s="1"/>
  <c r="R74" i="23" s="1"/>
  <c r="P75" i="23"/>
  <c r="Q75" i="23" s="1"/>
  <c r="R75" i="23" s="1"/>
  <c r="P76" i="23"/>
  <c r="Q76" i="23" s="1"/>
  <c r="P77" i="23"/>
  <c r="Q77" i="23" s="1"/>
  <c r="P78" i="23"/>
  <c r="Q78" i="23" s="1"/>
  <c r="P79" i="23"/>
  <c r="Q79" i="23" s="1"/>
  <c r="P80" i="23"/>
  <c r="Q80" i="23" s="1"/>
  <c r="P81" i="23"/>
  <c r="P82" i="23"/>
  <c r="Q82" i="23" s="1"/>
  <c r="R82" i="23" s="1"/>
  <c r="P83" i="23"/>
  <c r="Q83" i="23" s="1"/>
  <c r="R83" i="23" s="1"/>
  <c r="P84" i="23"/>
  <c r="Q84" i="23" s="1"/>
  <c r="P85" i="23"/>
  <c r="Q85" i="23" s="1"/>
  <c r="P86" i="23"/>
  <c r="Q86" i="23" s="1"/>
  <c r="P87" i="23"/>
  <c r="Q87" i="23" s="1"/>
  <c r="P88" i="23"/>
  <c r="Q88" i="23" s="1"/>
  <c r="P89" i="23"/>
  <c r="Q89" i="23" s="1"/>
  <c r="P90" i="23"/>
  <c r="Q90" i="23" s="1"/>
  <c r="R90" i="23" s="1"/>
  <c r="P91" i="23"/>
  <c r="Q91" i="23" s="1"/>
  <c r="R91" i="23" s="1"/>
  <c r="P92" i="23"/>
  <c r="Q92" i="23" s="1"/>
  <c r="P93" i="23"/>
  <c r="Q93" i="23" s="1"/>
  <c r="P94" i="23"/>
  <c r="Q94" i="23" s="1"/>
  <c r="P95" i="23"/>
  <c r="Q95" i="23" s="1"/>
  <c r="P96" i="23"/>
  <c r="Q96" i="23" s="1"/>
  <c r="P97" i="23"/>
  <c r="Q97" i="23" s="1"/>
  <c r="P2" i="23"/>
  <c r="I3" i="23"/>
  <c r="J3" i="23" s="1"/>
  <c r="K3" i="23" s="1"/>
  <c r="I4" i="23"/>
  <c r="J4" i="23" s="1"/>
  <c r="I5" i="23"/>
  <c r="J5" i="23" s="1"/>
  <c r="I6" i="23"/>
  <c r="J6" i="23" s="1"/>
  <c r="I7" i="23"/>
  <c r="J7" i="23" s="1"/>
  <c r="I8" i="23"/>
  <c r="J8" i="23" s="1"/>
  <c r="I9" i="23"/>
  <c r="J9" i="23" s="1"/>
  <c r="I10" i="23"/>
  <c r="J10" i="23" s="1"/>
  <c r="K10" i="23" s="1"/>
  <c r="I11" i="23"/>
  <c r="J11" i="23" s="1"/>
  <c r="K11" i="23" s="1"/>
  <c r="I12" i="23"/>
  <c r="J12" i="23" s="1"/>
  <c r="I13" i="23"/>
  <c r="J13" i="23" s="1"/>
  <c r="I14" i="23"/>
  <c r="J14" i="23" s="1"/>
  <c r="I15" i="23"/>
  <c r="J15" i="23" s="1"/>
  <c r="I16" i="23"/>
  <c r="J16" i="23" s="1"/>
  <c r="I17" i="23"/>
  <c r="J17" i="23" s="1"/>
  <c r="I18" i="23"/>
  <c r="J18" i="23" s="1"/>
  <c r="K18" i="23" s="1"/>
  <c r="I19" i="23"/>
  <c r="J19" i="23" s="1"/>
  <c r="K19" i="23" s="1"/>
  <c r="I20" i="23"/>
  <c r="J20" i="23" s="1"/>
  <c r="I21" i="23"/>
  <c r="J21" i="23" s="1"/>
  <c r="I22" i="23"/>
  <c r="J22" i="23" s="1"/>
  <c r="I23" i="23"/>
  <c r="J23" i="23" s="1"/>
  <c r="I24" i="23"/>
  <c r="J24" i="23" s="1"/>
  <c r="I25" i="23"/>
  <c r="J25" i="23" s="1"/>
  <c r="I26" i="23"/>
  <c r="J26" i="23" s="1"/>
  <c r="K26" i="23" s="1"/>
  <c r="I27" i="23"/>
  <c r="J27" i="23" s="1"/>
  <c r="K27" i="23" s="1"/>
  <c r="I28" i="23"/>
  <c r="J28" i="23" s="1"/>
  <c r="I29" i="23"/>
  <c r="J29" i="23" s="1"/>
  <c r="I30" i="23"/>
  <c r="J30" i="23" s="1"/>
  <c r="I31" i="23"/>
  <c r="J31" i="23" s="1"/>
  <c r="I32" i="23"/>
  <c r="J32" i="23" s="1"/>
  <c r="I33" i="23"/>
  <c r="J33" i="23" s="1"/>
  <c r="I34" i="23"/>
  <c r="J34" i="23" s="1"/>
  <c r="K34" i="23" s="1"/>
  <c r="I35" i="23"/>
  <c r="J35" i="23" s="1"/>
  <c r="K35" i="23" s="1"/>
  <c r="I36" i="23"/>
  <c r="J36" i="23" s="1"/>
  <c r="I37" i="23"/>
  <c r="J37" i="23" s="1"/>
  <c r="I38" i="23"/>
  <c r="J38" i="23" s="1"/>
  <c r="I39" i="23"/>
  <c r="J39" i="23" s="1"/>
  <c r="I40" i="23"/>
  <c r="J40" i="23" s="1"/>
  <c r="I41" i="23"/>
  <c r="J41" i="23" s="1"/>
  <c r="I42" i="23"/>
  <c r="J42" i="23" s="1"/>
  <c r="K42" i="23" s="1"/>
  <c r="I43" i="23"/>
  <c r="J43" i="23" s="1"/>
  <c r="K43" i="23" s="1"/>
  <c r="I44" i="23"/>
  <c r="J44" i="23" s="1"/>
  <c r="I45" i="23"/>
  <c r="J45" i="23" s="1"/>
  <c r="I46" i="23"/>
  <c r="J46" i="23" s="1"/>
  <c r="I47" i="23"/>
  <c r="J47" i="23" s="1"/>
  <c r="I48" i="23"/>
  <c r="J48" i="23" s="1"/>
  <c r="I49" i="23"/>
  <c r="I50" i="23"/>
  <c r="J50" i="23" s="1"/>
  <c r="K50" i="23" s="1"/>
  <c r="I51" i="23"/>
  <c r="J51" i="23" s="1"/>
  <c r="K51" i="23" s="1"/>
  <c r="I52" i="23"/>
  <c r="J52" i="23" s="1"/>
  <c r="I53" i="23"/>
  <c r="J53" i="23" s="1"/>
  <c r="I54" i="23"/>
  <c r="J54" i="23" s="1"/>
  <c r="I55" i="23"/>
  <c r="J55" i="23" s="1"/>
  <c r="I56" i="23"/>
  <c r="J56" i="23" s="1"/>
  <c r="I57" i="23"/>
  <c r="J57" i="23" s="1"/>
  <c r="I58" i="23"/>
  <c r="J58" i="23" s="1"/>
  <c r="K58" i="23" s="1"/>
  <c r="I59" i="23"/>
  <c r="J59" i="23" s="1"/>
  <c r="K59" i="23" s="1"/>
  <c r="I60" i="23"/>
  <c r="J60" i="23" s="1"/>
  <c r="I61" i="23"/>
  <c r="J61" i="23" s="1"/>
  <c r="I62" i="23"/>
  <c r="J62" i="23" s="1"/>
  <c r="I63" i="23"/>
  <c r="J63" i="23" s="1"/>
  <c r="I64" i="23"/>
  <c r="J64" i="23" s="1"/>
  <c r="I65" i="23"/>
  <c r="J65" i="23" s="1"/>
  <c r="I66" i="23"/>
  <c r="J66" i="23" s="1"/>
  <c r="K66" i="23" s="1"/>
  <c r="I67" i="23"/>
  <c r="J67" i="23" s="1"/>
  <c r="K67" i="23" s="1"/>
  <c r="I68" i="23"/>
  <c r="J68" i="23" s="1"/>
  <c r="I69" i="23"/>
  <c r="J69" i="23" s="1"/>
  <c r="I70" i="23"/>
  <c r="J70" i="23" s="1"/>
  <c r="I71" i="23"/>
  <c r="J71" i="23" s="1"/>
  <c r="I72" i="23"/>
  <c r="J72" i="23" s="1"/>
  <c r="I73" i="23"/>
  <c r="J73" i="23" s="1"/>
  <c r="I74" i="23"/>
  <c r="J74" i="23" s="1"/>
  <c r="K74" i="23" s="1"/>
  <c r="I75" i="23"/>
  <c r="J75" i="23" s="1"/>
  <c r="K75" i="23" s="1"/>
  <c r="I76" i="23"/>
  <c r="J76" i="23" s="1"/>
  <c r="I77" i="23"/>
  <c r="J77" i="23" s="1"/>
  <c r="I78" i="23"/>
  <c r="J78" i="23" s="1"/>
  <c r="I79" i="23"/>
  <c r="J79" i="23" s="1"/>
  <c r="I80" i="23"/>
  <c r="J80" i="23" s="1"/>
  <c r="I81" i="23"/>
  <c r="I82" i="23"/>
  <c r="J82" i="23" s="1"/>
  <c r="K82" i="23" s="1"/>
  <c r="I83" i="23"/>
  <c r="J83" i="23" s="1"/>
  <c r="K83" i="23" s="1"/>
  <c r="I84" i="23"/>
  <c r="J84" i="23" s="1"/>
  <c r="I85" i="23"/>
  <c r="J85" i="23" s="1"/>
  <c r="I86" i="23"/>
  <c r="J86" i="23" s="1"/>
  <c r="I87" i="23"/>
  <c r="J87" i="23" s="1"/>
  <c r="I88" i="23"/>
  <c r="J88" i="23" s="1"/>
  <c r="I89" i="23"/>
  <c r="J89" i="23" s="1"/>
  <c r="I90" i="23"/>
  <c r="J90" i="23" s="1"/>
  <c r="K90" i="23" s="1"/>
  <c r="I91" i="23"/>
  <c r="J91" i="23" s="1"/>
  <c r="K91" i="23" s="1"/>
  <c r="I92" i="23"/>
  <c r="J92" i="23" s="1"/>
  <c r="I93" i="23"/>
  <c r="J93" i="23" s="1"/>
  <c r="I94" i="23"/>
  <c r="J94" i="23" s="1"/>
  <c r="I95" i="23"/>
  <c r="J95" i="23" s="1"/>
  <c r="I96" i="23"/>
  <c r="J96" i="23" s="1"/>
  <c r="I97" i="23"/>
  <c r="J97" i="23" s="1"/>
  <c r="I2" i="23"/>
  <c r="C2" i="26"/>
  <c r="Z2" i="26"/>
  <c r="Y2" i="26"/>
  <c r="W2" i="26"/>
  <c r="V2" i="26"/>
  <c r="U2" i="26"/>
  <c r="T2" i="26"/>
  <c r="S2" i="26"/>
  <c r="R2" i="26"/>
  <c r="Q2" i="26"/>
  <c r="P2" i="26"/>
  <c r="O2" i="26"/>
  <c r="N2" i="26"/>
  <c r="M2" i="26"/>
  <c r="L2" i="26"/>
  <c r="K2" i="26"/>
  <c r="J2" i="26"/>
  <c r="I2" i="26"/>
  <c r="H2" i="26"/>
  <c r="G2" i="26"/>
  <c r="E2" i="26"/>
  <c r="D2" i="26"/>
  <c r="AB4" i="26"/>
  <c r="AB5" i="26"/>
  <c r="AB6" i="26"/>
  <c r="AB7" i="26"/>
  <c r="AB8" i="26"/>
  <c r="AB9" i="26"/>
  <c r="AB10" i="26"/>
  <c r="AB11" i="26"/>
  <c r="AB12" i="26"/>
  <c r="AB13" i="26"/>
  <c r="AB14" i="26"/>
  <c r="AB15" i="26"/>
  <c r="AB16" i="26"/>
  <c r="AB17" i="26"/>
  <c r="AB18" i="26"/>
  <c r="AB19" i="26"/>
  <c r="AB20" i="26"/>
  <c r="AB21" i="26"/>
  <c r="AB22" i="26"/>
  <c r="AB23" i="26"/>
  <c r="AB24" i="26"/>
  <c r="AB25" i="26"/>
  <c r="AB26" i="26"/>
  <c r="AB27" i="26"/>
  <c r="AB28" i="26"/>
  <c r="AB29" i="26"/>
  <c r="AB30" i="26"/>
  <c r="AB31" i="26"/>
  <c r="AB32" i="26"/>
  <c r="AB33" i="26"/>
  <c r="AB34" i="26"/>
  <c r="AB35" i="26"/>
  <c r="AB36" i="26"/>
  <c r="AB37" i="26"/>
  <c r="AB38" i="26"/>
  <c r="AB39" i="26"/>
  <c r="AB40" i="26"/>
  <c r="AB41" i="26"/>
  <c r="AB42" i="26"/>
  <c r="AB43" i="26"/>
  <c r="AB44" i="26"/>
  <c r="E42" i="24"/>
  <c r="E40" i="24"/>
  <c r="E35" i="24"/>
  <c r="E33" i="24"/>
  <c r="E31" i="24"/>
  <c r="E30" i="24"/>
  <c r="E25" i="24"/>
  <c r="E24" i="24"/>
  <c r="E23" i="24"/>
  <c r="E22" i="24"/>
  <c r="E20" i="24"/>
  <c r="E11" i="24"/>
  <c r="E4" i="24"/>
  <c r="AX101" i="23" l="1"/>
  <c r="AX102" i="23" s="1"/>
  <c r="AW100" i="23"/>
  <c r="AW101" i="23" s="1"/>
  <c r="K97" i="23"/>
  <c r="K33" i="23"/>
  <c r="R97" i="23"/>
  <c r="R65" i="23"/>
  <c r="R41" i="23"/>
  <c r="R33" i="23"/>
  <c r="R9" i="23"/>
  <c r="K41" i="23"/>
  <c r="Q25" i="23"/>
  <c r="R25" i="23" s="1"/>
  <c r="K89" i="23"/>
  <c r="K65" i="23"/>
  <c r="K9" i="23"/>
  <c r="R89" i="23"/>
  <c r="K73" i="23"/>
  <c r="K25" i="23"/>
  <c r="R57" i="23"/>
  <c r="J81" i="23"/>
  <c r="K81" i="23" s="1"/>
  <c r="J49" i="23"/>
  <c r="K49" i="23" s="1"/>
  <c r="Q81" i="23"/>
  <c r="R81" i="23" s="1"/>
  <c r="Q49" i="23"/>
  <c r="R49" i="23" s="1"/>
  <c r="Q17" i="23"/>
  <c r="R17" i="23" s="1"/>
  <c r="K57" i="23"/>
  <c r="K17" i="23"/>
  <c r="R73" i="23"/>
  <c r="AB3" i="26"/>
  <c r="J2" i="23"/>
  <c r="K2" i="23" s="1"/>
  <c r="Q2" i="23"/>
  <c r="R2" i="23" s="1"/>
  <c r="K96" i="23"/>
  <c r="K88" i="23"/>
  <c r="K80" i="23"/>
  <c r="K64" i="23"/>
  <c r="K56" i="23"/>
  <c r="K48" i="23"/>
  <c r="K40" i="23"/>
  <c r="K32" i="23"/>
  <c r="K24" i="23"/>
  <c r="K16" i="23"/>
  <c r="K8" i="23"/>
  <c r="R96" i="23"/>
  <c r="R88" i="23"/>
  <c r="R80" i="23"/>
  <c r="R72" i="23"/>
  <c r="R64" i="23"/>
  <c r="R56" i="23"/>
  <c r="R48" i="23"/>
  <c r="R40" i="23"/>
  <c r="R32" i="23"/>
  <c r="R24" i="23"/>
  <c r="R16" i="23"/>
  <c r="R8" i="23"/>
  <c r="K72" i="23"/>
  <c r="K95" i="23"/>
  <c r="K87" i="23"/>
  <c r="K79" i="23"/>
  <c r="K71" i="23"/>
  <c r="K63" i="23"/>
  <c r="K55" i="23"/>
  <c r="K47" i="23"/>
  <c r="K39" i="23"/>
  <c r="K31" i="23"/>
  <c r="K23" i="23"/>
  <c r="K15" i="23"/>
  <c r="K7" i="23"/>
  <c r="R95" i="23"/>
  <c r="R87" i="23"/>
  <c r="R79" i="23"/>
  <c r="R71" i="23"/>
  <c r="R63" i="23"/>
  <c r="R55" i="23"/>
  <c r="R47" i="23"/>
  <c r="R39" i="23"/>
  <c r="R31" i="23"/>
  <c r="R23" i="23"/>
  <c r="R15" i="23"/>
  <c r="R7" i="23"/>
  <c r="K94" i="23"/>
  <c r="K86" i="23"/>
  <c r="K78" i="23"/>
  <c r="K70" i="23"/>
  <c r="K62" i="23"/>
  <c r="K54" i="23"/>
  <c r="K46" i="23"/>
  <c r="K38" i="23"/>
  <c r="K30" i="23"/>
  <c r="K22" i="23"/>
  <c r="K14" i="23"/>
  <c r="K6" i="23"/>
  <c r="R94" i="23"/>
  <c r="R86" i="23"/>
  <c r="R78" i="23"/>
  <c r="R70" i="23"/>
  <c r="R62" i="23"/>
  <c r="R54" i="23"/>
  <c r="R46" i="23"/>
  <c r="R38" i="23"/>
  <c r="R30" i="23"/>
  <c r="R22" i="23"/>
  <c r="R14" i="23"/>
  <c r="R6" i="23"/>
  <c r="K93" i="23"/>
  <c r="K85" i="23"/>
  <c r="K77" i="23"/>
  <c r="K69" i="23"/>
  <c r="K61" i="23"/>
  <c r="K53" i="23"/>
  <c r="K45" i="23"/>
  <c r="K37" i="23"/>
  <c r="K29" i="23"/>
  <c r="K21" i="23"/>
  <c r="K13" i="23"/>
  <c r="K5" i="23"/>
  <c r="R93" i="23"/>
  <c r="R85" i="23"/>
  <c r="R77" i="23"/>
  <c r="R69" i="23"/>
  <c r="R61" i="23"/>
  <c r="R53" i="23"/>
  <c r="R45" i="23"/>
  <c r="R37" i="23"/>
  <c r="R29" i="23"/>
  <c r="R21" i="23"/>
  <c r="R13" i="23"/>
  <c r="R5" i="23"/>
  <c r="K92" i="23"/>
  <c r="K84" i="23"/>
  <c r="K76" i="23"/>
  <c r="K68" i="23"/>
  <c r="K60" i="23"/>
  <c r="K52" i="23"/>
  <c r="K44" i="23"/>
  <c r="K36" i="23"/>
  <c r="K28" i="23"/>
  <c r="K20" i="23"/>
  <c r="K12" i="23"/>
  <c r="K4" i="23"/>
  <c r="R92" i="23"/>
  <c r="R84" i="23"/>
  <c r="R76" i="23"/>
  <c r="R68" i="23"/>
  <c r="R60" i="23"/>
  <c r="R52" i="23"/>
  <c r="R44" i="23"/>
  <c r="R36" i="23"/>
  <c r="R28" i="23"/>
  <c r="R20" i="23"/>
  <c r="R12" i="23"/>
  <c r="R4" i="23"/>
  <c r="C28" i="25"/>
  <c r="F25" i="21" l="1"/>
  <c r="Y23" i="21"/>
  <c r="AD22" i="21"/>
  <c r="AC22" i="21"/>
  <c r="AB22" i="21"/>
  <c r="AA22" i="21"/>
  <c r="Z22" i="21"/>
  <c r="Y22" i="21"/>
  <c r="Y24" i="21" s="1"/>
  <c r="X22" i="21"/>
  <c r="W22" i="21"/>
  <c r="V22" i="21"/>
  <c r="U22" i="21"/>
  <c r="T22" i="21"/>
  <c r="S22" i="21"/>
  <c r="R22" i="21"/>
  <c r="Q22" i="21"/>
  <c r="P22" i="21"/>
  <c r="P23" i="21" s="1"/>
  <c r="O22" i="21"/>
  <c r="O23" i="21" s="1"/>
  <c r="N22" i="21"/>
  <c r="M22" i="21"/>
  <c r="L22" i="21"/>
  <c r="L23" i="21" s="1"/>
  <c r="K22" i="21"/>
  <c r="J22" i="21"/>
  <c r="J23" i="21" s="1"/>
  <c r="I22" i="21"/>
  <c r="I23" i="21" s="1"/>
  <c r="H22" i="21"/>
  <c r="H23" i="21" s="1"/>
  <c r="G22" i="21"/>
  <c r="F23" i="21"/>
  <c r="F22" i="21"/>
  <c r="AB24" i="21" l="1"/>
  <c r="N24" i="21"/>
  <c r="V24" i="21"/>
  <c r="AC24" i="21"/>
  <c r="G24" i="21"/>
  <c r="G23" i="21"/>
  <c r="O24" i="21"/>
  <c r="X23" i="21"/>
  <c r="X24" i="21" s="1"/>
  <c r="Q23" i="21"/>
  <c r="Q24" i="21" s="1"/>
  <c r="W23" i="21"/>
  <c r="W24" i="21" s="1"/>
  <c r="P24" i="21"/>
  <c r="R23" i="21"/>
  <c r="R24" i="21" s="1"/>
  <c r="Z23" i="21"/>
  <c r="Z24" i="21" s="1"/>
  <c r="J24" i="21"/>
  <c r="H24" i="21"/>
  <c r="I24" i="21"/>
  <c r="K23" i="21"/>
  <c r="K24" i="21" s="1"/>
  <c r="S23" i="21"/>
  <c r="S24" i="21" s="1"/>
  <c r="AA23" i="21"/>
  <c r="AA24" i="21" s="1"/>
  <c r="T23" i="21"/>
  <c r="T24" i="21" s="1"/>
  <c r="AB23" i="21"/>
  <c r="L24" i="21"/>
  <c r="M23" i="21"/>
  <c r="M24" i="21" s="1"/>
  <c r="U23" i="21"/>
  <c r="U24" i="21" s="1"/>
  <c r="AC23" i="21"/>
  <c r="N23" i="21"/>
  <c r="V23" i="21"/>
  <c r="AD23" i="21"/>
  <c r="AD24" i="21" s="1"/>
  <c r="F24" i="21"/>
  <c r="K27" i="25"/>
  <c r="L3" i="25"/>
  <c r="L4" i="25"/>
  <c r="L5" i="25"/>
  <c r="M5" i="25" s="1"/>
  <c r="L6" i="25"/>
  <c r="M6" i="25" s="1"/>
  <c r="N6" i="25" s="1"/>
  <c r="L7" i="25"/>
  <c r="L8" i="25"/>
  <c r="M8" i="25" s="1"/>
  <c r="N8" i="25" s="1"/>
  <c r="L9" i="25"/>
  <c r="M9" i="25" s="1"/>
  <c r="N9" i="25" s="1"/>
  <c r="L10" i="25"/>
  <c r="M10" i="25" s="1"/>
  <c r="L11" i="25"/>
  <c r="L12" i="25"/>
  <c r="M12" i="25" s="1"/>
  <c r="L13" i="25"/>
  <c r="L14" i="25"/>
  <c r="M14" i="25" s="1"/>
  <c r="N14" i="25" s="1"/>
  <c r="L15" i="25"/>
  <c r="M15" i="25" s="1"/>
  <c r="N15" i="25" s="1"/>
  <c r="L16" i="25"/>
  <c r="M16" i="25" s="1"/>
  <c r="N16" i="25" s="1"/>
  <c r="L17" i="25"/>
  <c r="M17" i="25" s="1"/>
  <c r="N17" i="25" s="1"/>
  <c r="L18" i="25"/>
  <c r="M18" i="25" s="1"/>
  <c r="N18" i="25" s="1"/>
  <c r="L19" i="25"/>
  <c r="M19" i="25" s="1"/>
  <c r="N19" i="25" s="1"/>
  <c r="L20" i="25"/>
  <c r="M20" i="25" s="1"/>
  <c r="N20" i="25" s="1"/>
  <c r="L21" i="25"/>
  <c r="M21" i="25" s="1"/>
  <c r="L22" i="25"/>
  <c r="M22" i="25" s="1"/>
  <c r="N22" i="25" s="1"/>
  <c r="L23" i="25"/>
  <c r="M23" i="25" s="1"/>
  <c r="N23" i="25" s="1"/>
  <c r="L24" i="25"/>
  <c r="M24" i="25" s="1"/>
  <c r="N24" i="25" s="1"/>
  <c r="L25" i="25"/>
  <c r="M25" i="25" s="1"/>
  <c r="N25" i="25" s="1"/>
  <c r="L26" i="25"/>
  <c r="M26" i="25" s="1"/>
  <c r="N26" i="25" s="1"/>
  <c r="M3" i="25"/>
  <c r="M4" i="25"/>
  <c r="M13" i="25"/>
  <c r="N13" i="25"/>
  <c r="L2" i="25"/>
  <c r="M2" i="25" s="1"/>
  <c r="G27" i="25"/>
  <c r="I25" i="25"/>
  <c r="H3" i="25"/>
  <c r="I3" i="25" s="1"/>
  <c r="H4" i="25"/>
  <c r="I4" i="25" s="1"/>
  <c r="H5" i="25"/>
  <c r="H6" i="25"/>
  <c r="I6" i="25" s="1"/>
  <c r="H7" i="25"/>
  <c r="H8" i="25"/>
  <c r="I8" i="25" s="1"/>
  <c r="H10" i="25"/>
  <c r="H11" i="25"/>
  <c r="H12" i="25"/>
  <c r="I12" i="25" s="1"/>
  <c r="H13" i="25"/>
  <c r="I13" i="25" s="1"/>
  <c r="H14" i="25"/>
  <c r="I14" i="25" s="1"/>
  <c r="H15" i="25"/>
  <c r="H16" i="25"/>
  <c r="I16" i="25" s="1"/>
  <c r="J16" i="25" s="1"/>
  <c r="H17" i="25"/>
  <c r="I17" i="25" s="1"/>
  <c r="J17" i="25" s="1"/>
  <c r="H18" i="25"/>
  <c r="I18" i="25" s="1"/>
  <c r="H19" i="25"/>
  <c r="I19" i="25" s="1"/>
  <c r="J19" i="25" s="1"/>
  <c r="H20" i="25"/>
  <c r="I20" i="25" s="1"/>
  <c r="H21" i="25"/>
  <c r="I21" i="25" s="1"/>
  <c r="H22" i="25"/>
  <c r="I22" i="25" s="1"/>
  <c r="H23" i="25"/>
  <c r="H24" i="25"/>
  <c r="I24" i="25" s="1"/>
  <c r="J24" i="25" s="1"/>
  <c r="H25" i="25"/>
  <c r="H26" i="25"/>
  <c r="I2" i="25"/>
  <c r="J2" i="25" s="1"/>
  <c r="H2" i="25"/>
  <c r="D3" i="25"/>
  <c r="D4" i="25"/>
  <c r="D5" i="25"/>
  <c r="E5" i="25" s="1"/>
  <c r="F5" i="25" s="1"/>
  <c r="D6" i="25"/>
  <c r="E6" i="25" s="1"/>
  <c r="F6" i="25" s="1"/>
  <c r="D7" i="25"/>
  <c r="D8" i="25"/>
  <c r="D9" i="25"/>
  <c r="E9" i="25" s="1"/>
  <c r="D10" i="25"/>
  <c r="E10" i="25" s="1"/>
  <c r="D11" i="25"/>
  <c r="D12" i="25"/>
  <c r="E12" i="25" s="1"/>
  <c r="D13" i="25"/>
  <c r="E13" i="25" s="1"/>
  <c r="F13" i="25" s="1"/>
  <c r="D14" i="25"/>
  <c r="E14" i="25" s="1"/>
  <c r="F14" i="25" s="1"/>
  <c r="D15" i="25"/>
  <c r="D16" i="25"/>
  <c r="D17" i="25"/>
  <c r="E17" i="25" s="1"/>
  <c r="D18" i="25"/>
  <c r="D19" i="25"/>
  <c r="D20" i="25"/>
  <c r="E20" i="25" s="1"/>
  <c r="D21" i="25"/>
  <c r="E21" i="25" s="1"/>
  <c r="F21" i="25" s="1"/>
  <c r="D22" i="25"/>
  <c r="E22" i="25" s="1"/>
  <c r="F22" i="25" s="1"/>
  <c r="D23" i="25"/>
  <c r="D24" i="25"/>
  <c r="D25" i="25"/>
  <c r="E25" i="25" s="1"/>
  <c r="D26" i="25"/>
  <c r="E26" i="25" s="1"/>
  <c r="D2" i="25"/>
  <c r="C27" i="25"/>
  <c r="F4" i="24"/>
  <c r="F11" i="24"/>
  <c r="G11" i="24" s="1"/>
  <c r="H11" i="24" s="1"/>
  <c r="F35" i="24"/>
  <c r="G35" i="24" s="1"/>
  <c r="F36" i="24"/>
  <c r="G36" i="24" s="1"/>
  <c r="F37" i="24"/>
  <c r="G37" i="24" s="1"/>
  <c r="H37" i="24" s="1"/>
  <c r="F42" i="24"/>
  <c r="G42" i="24" s="1"/>
  <c r="E29" i="24"/>
  <c r="F29" i="24" s="1"/>
  <c r="G29" i="24" s="1"/>
  <c r="E26" i="24"/>
  <c r="F26" i="24" s="1"/>
  <c r="F25" i="24"/>
  <c r="G25" i="24" s="1"/>
  <c r="F24" i="24"/>
  <c r="G24" i="24" s="1"/>
  <c r="E9" i="24"/>
  <c r="F9" i="24" s="1"/>
  <c r="G9" i="24" s="1"/>
  <c r="E12" i="24"/>
  <c r="F12" i="24" s="1"/>
  <c r="G12" i="24" s="1"/>
  <c r="E13" i="24"/>
  <c r="E10" i="24"/>
  <c r="F10" i="24" s="1"/>
  <c r="E15" i="24"/>
  <c r="E16" i="24"/>
  <c r="F16" i="24" s="1"/>
  <c r="G16" i="24" s="1"/>
  <c r="E17" i="24"/>
  <c r="F17" i="24" s="1"/>
  <c r="G17" i="24" s="1"/>
  <c r="E19" i="24"/>
  <c r="F19" i="24" s="1"/>
  <c r="F23" i="24"/>
  <c r="G23" i="24" s="1"/>
  <c r="E28" i="24"/>
  <c r="F28" i="24" s="1"/>
  <c r="G28" i="24" s="1"/>
  <c r="E21" i="24"/>
  <c r="E18" i="24"/>
  <c r="F18" i="24" s="1"/>
  <c r="E14" i="24"/>
  <c r="F14" i="24" s="1"/>
  <c r="G14" i="24" s="1"/>
  <c r="E27" i="24"/>
  <c r="F27" i="24" s="1"/>
  <c r="E32" i="24"/>
  <c r="F32" i="24" s="1"/>
  <c r="G32" i="24" s="1"/>
  <c r="F33" i="24"/>
  <c r="G33" i="24" s="1"/>
  <c r="E34" i="24"/>
  <c r="F34" i="24" s="1"/>
  <c r="E39" i="24"/>
  <c r="F39" i="24" s="1"/>
  <c r="G39" i="24" s="1"/>
  <c r="E38" i="24"/>
  <c r="F40" i="24"/>
  <c r="G40" i="24" s="1"/>
  <c r="E41" i="24"/>
  <c r="F41" i="24" s="1"/>
  <c r="G41" i="24" s="1"/>
  <c r="E8" i="24"/>
  <c r="E6" i="24"/>
  <c r="F6" i="24" s="1"/>
  <c r="E7" i="24"/>
  <c r="F7" i="24" s="1"/>
  <c r="G7" i="24" s="1"/>
  <c r="E5" i="24"/>
  <c r="E3" i="24"/>
  <c r="F3" i="24" s="1"/>
  <c r="E2" i="24"/>
  <c r="F2" i="24" s="1"/>
  <c r="D45" i="24"/>
  <c r="C45" i="24"/>
  <c r="G4" i="24" l="1"/>
  <c r="H4" i="24" s="1"/>
  <c r="H42" i="24"/>
  <c r="H36" i="24"/>
  <c r="H35" i="24"/>
  <c r="N4" i="25"/>
  <c r="J22" i="25"/>
  <c r="J21" i="25"/>
  <c r="N2" i="25"/>
  <c r="N21" i="25"/>
  <c r="N12" i="25"/>
  <c r="J14" i="25"/>
  <c r="N3" i="25"/>
  <c r="J12" i="25"/>
  <c r="I15" i="25"/>
  <c r="J15" i="25" s="1"/>
  <c r="J18" i="25"/>
  <c r="D27" i="25"/>
  <c r="J25" i="25"/>
  <c r="M11" i="25"/>
  <c r="N11" i="25" s="1"/>
  <c r="N10" i="25"/>
  <c r="L27" i="25"/>
  <c r="M7" i="25"/>
  <c r="N7" i="25" s="1"/>
  <c r="N5" i="25"/>
  <c r="F15" i="24"/>
  <c r="G15" i="24" s="1"/>
  <c r="H16" i="24"/>
  <c r="H39" i="24"/>
  <c r="H29" i="24"/>
  <c r="H28" i="24"/>
  <c r="F5" i="24"/>
  <c r="G5" i="24" s="1"/>
  <c r="H12" i="24"/>
  <c r="F31" i="24"/>
  <c r="G31" i="24" s="1"/>
  <c r="F13" i="24"/>
  <c r="G13" i="24" s="1"/>
  <c r="G18" i="24"/>
  <c r="H18" i="24" s="1"/>
  <c r="G34" i="24"/>
  <c r="H34" i="24" s="1"/>
  <c r="H41" i="24"/>
  <c r="G27" i="24"/>
  <c r="H27" i="24" s="1"/>
  <c r="G19" i="24"/>
  <c r="H19" i="24" s="1"/>
  <c r="H9" i="24"/>
  <c r="G2" i="24"/>
  <c r="H2" i="24" s="1"/>
  <c r="G3" i="24"/>
  <c r="H3" i="24" s="1"/>
  <c r="G26" i="24"/>
  <c r="H26" i="24" s="1"/>
  <c r="G10" i="24"/>
  <c r="H10" i="24" s="1"/>
  <c r="H40" i="24"/>
  <c r="H17" i="24"/>
  <c r="H24" i="24"/>
  <c r="F8" i="24"/>
  <c r="G8" i="24" s="1"/>
  <c r="H33" i="24"/>
  <c r="F22" i="24"/>
  <c r="G22" i="24" s="1"/>
  <c r="H32" i="24"/>
  <c r="H14" i="24"/>
  <c r="H25" i="24"/>
  <c r="F38" i="24"/>
  <c r="G38" i="24" s="1"/>
  <c r="F30" i="24"/>
  <c r="G30" i="24" s="1"/>
  <c r="F21" i="24"/>
  <c r="G21" i="24" s="1"/>
  <c r="G6" i="24"/>
  <c r="H6" i="24" s="1"/>
  <c r="H23" i="24"/>
  <c r="H7" i="24"/>
  <c r="F20" i="24"/>
  <c r="G20" i="24" s="1"/>
  <c r="I26" i="25"/>
  <c r="J26" i="25" s="1"/>
  <c r="I23" i="25"/>
  <c r="J23" i="25" s="1"/>
  <c r="J20" i="25"/>
  <c r="J13" i="25"/>
  <c r="I11" i="25"/>
  <c r="J11" i="25" s="1"/>
  <c r="I10" i="25"/>
  <c r="J10" i="25" s="1"/>
  <c r="H9" i="25"/>
  <c r="I9" i="25" s="1"/>
  <c r="J8" i="25"/>
  <c r="I7" i="25"/>
  <c r="J7" i="25" s="1"/>
  <c r="J6" i="25"/>
  <c r="I5" i="25"/>
  <c r="J5" i="25" s="1"/>
  <c r="J4" i="25"/>
  <c r="J3" i="25"/>
  <c r="E19" i="25"/>
  <c r="F19" i="25" s="1"/>
  <c r="F20" i="25"/>
  <c r="E18" i="25"/>
  <c r="F18" i="25" s="1"/>
  <c r="E24" i="25"/>
  <c r="F24" i="25" s="1"/>
  <c r="E16" i="25"/>
  <c r="F16" i="25" s="1"/>
  <c r="E8" i="25"/>
  <c r="F8" i="25" s="1"/>
  <c r="F25" i="25"/>
  <c r="F17" i="25"/>
  <c r="F9" i="25"/>
  <c r="E2" i="25"/>
  <c r="E3" i="25"/>
  <c r="F3" i="25" s="1"/>
  <c r="F12" i="25"/>
  <c r="F2" i="25"/>
  <c r="F26" i="25"/>
  <c r="F10" i="25"/>
  <c r="E23" i="25"/>
  <c r="F23" i="25" s="1"/>
  <c r="E15" i="25"/>
  <c r="F15" i="25" s="1"/>
  <c r="E7" i="25"/>
  <c r="F7" i="25" s="1"/>
  <c r="E4" i="25"/>
  <c r="F4" i="25" s="1"/>
  <c r="E11" i="25"/>
  <c r="F11" i="25" s="1"/>
  <c r="AF10" i="21"/>
  <c r="H31" i="24" l="1"/>
  <c r="N27" i="25"/>
  <c r="M27" i="25"/>
  <c r="H8" i="24"/>
  <c r="H30" i="24"/>
  <c r="H5" i="24"/>
  <c r="H13" i="24"/>
  <c r="H20" i="24"/>
  <c r="H15" i="24"/>
  <c r="H21" i="24"/>
  <c r="H22" i="24"/>
  <c r="H38" i="24"/>
  <c r="H27" i="25"/>
  <c r="I27" i="25" s="1"/>
  <c r="J9" i="25"/>
  <c r="J27" i="25"/>
  <c r="F27" i="25"/>
  <c r="E27" i="25"/>
  <c r="X3" i="21"/>
  <c r="U4" i="21"/>
  <c r="U3" i="21"/>
  <c r="U20" i="21" s="1"/>
  <c r="T3" i="21"/>
  <c r="G3" i="21"/>
  <c r="F7" i="21"/>
  <c r="F5" i="21"/>
  <c r="F4" i="21"/>
  <c r="F3" i="21"/>
  <c r="J4" i="21" l="1"/>
  <c r="AK406" i="22"/>
  <c r="AL406" i="22" s="1"/>
  <c r="AK400" i="22"/>
  <c r="AL400" i="22" s="1"/>
  <c r="AK398" i="22"/>
  <c r="AL398" i="22" s="1"/>
  <c r="AK396" i="22"/>
  <c r="AL396" i="22" s="1"/>
  <c r="AK392" i="22"/>
  <c r="AL392" i="22" s="1"/>
  <c r="AK390" i="22"/>
  <c r="AL390" i="22" s="1"/>
  <c r="AK388" i="22"/>
  <c r="AL388" i="22" s="1"/>
  <c r="AK386" i="22"/>
  <c r="AL386" i="22" s="1"/>
  <c r="AK384" i="22"/>
  <c r="AL384" i="22" s="1"/>
  <c r="AK376" i="22"/>
  <c r="AL376" i="22" s="1"/>
  <c r="AK374" i="22"/>
  <c r="AL374" i="22" s="1"/>
  <c r="AK369" i="22"/>
  <c r="AL369" i="22" s="1"/>
  <c r="AK367" i="22"/>
  <c r="AL367" i="22" s="1"/>
  <c r="AK362" i="22"/>
  <c r="AL362" i="22" s="1"/>
  <c r="AK359" i="22"/>
  <c r="AL359" i="22" s="1"/>
  <c r="AK356" i="22"/>
  <c r="AL356" i="22" s="1"/>
  <c r="AK353" i="22"/>
  <c r="AL353" i="22" s="1"/>
  <c r="AK351" i="22"/>
  <c r="AL351" i="22" s="1"/>
  <c r="AK342" i="22"/>
  <c r="AL342" i="22" s="1"/>
  <c r="AK341" i="22"/>
  <c r="AL341" i="22" s="1"/>
  <c r="AK340" i="22"/>
  <c r="AL340" i="22" s="1"/>
  <c r="AK305" i="22"/>
  <c r="AL305" i="22" s="1"/>
  <c r="AK303" i="22"/>
  <c r="AL303" i="22" s="1"/>
  <c r="AK299" i="22"/>
  <c r="AL299" i="22" s="1"/>
  <c r="AK293" i="22"/>
  <c r="AL293" i="22" s="1"/>
  <c r="AK289" i="22"/>
  <c r="AL289" i="22" s="1"/>
  <c r="AK285" i="22"/>
  <c r="AL285" i="22" s="1"/>
  <c r="AK282" i="22"/>
  <c r="AL282" i="22" s="1"/>
  <c r="AK278" i="22"/>
  <c r="AL278" i="22" s="1"/>
  <c r="AK274" i="22"/>
  <c r="AL274" i="22" s="1"/>
  <c r="AK268" i="22"/>
  <c r="AL268" i="22" s="1"/>
  <c r="AK266" i="22"/>
  <c r="AL266" i="22" s="1"/>
  <c r="AK251" i="22"/>
  <c r="AL251" i="22" s="1"/>
  <c r="AK249" i="22"/>
  <c r="AL249" i="22" s="1"/>
  <c r="AK247" i="22"/>
  <c r="AL247" i="22" s="1"/>
  <c r="AK234" i="22"/>
  <c r="AL234" i="22" s="1"/>
  <c r="AK213" i="22"/>
  <c r="AL213" i="22" s="1"/>
  <c r="AK209" i="22"/>
  <c r="AL209" i="22" s="1"/>
  <c r="AK207" i="22"/>
  <c r="AL207" i="22" s="1"/>
  <c r="AK203" i="22"/>
  <c r="AL203" i="22" s="1"/>
  <c r="AK202" i="22"/>
  <c r="AL202" i="22" s="1"/>
  <c r="AK201" i="22"/>
  <c r="AL201" i="22" s="1"/>
  <c r="AK200" i="22"/>
  <c r="AL200" i="22" s="1"/>
  <c r="AK199" i="22"/>
  <c r="AL199" i="22" s="1"/>
  <c r="AK195" i="22"/>
  <c r="AL195" i="22" s="1"/>
  <c r="AK191" i="22"/>
  <c r="AL191" i="22" s="1"/>
  <c r="AK190" i="22"/>
  <c r="AL190" i="22" s="1"/>
  <c r="AK186" i="22"/>
  <c r="AL186" i="22" s="1"/>
  <c r="AK179" i="22"/>
  <c r="AL179" i="22" s="1"/>
  <c r="AK177" i="22"/>
  <c r="AL177" i="22" s="1"/>
  <c r="AK176" i="22"/>
  <c r="AL176" i="22" s="1"/>
  <c r="AK172" i="22"/>
  <c r="AL172" i="22" s="1"/>
  <c r="AK170" i="22"/>
  <c r="AL170" i="22" s="1"/>
  <c r="AK164" i="22"/>
  <c r="AL164" i="22" s="1"/>
  <c r="AK163" i="22"/>
  <c r="AL163" i="22" s="1"/>
  <c r="AK162" i="22"/>
  <c r="AL162" i="22" s="1"/>
  <c r="AK161" i="22"/>
  <c r="AL161" i="22" s="1"/>
  <c r="AK160" i="22"/>
  <c r="AL160" i="22" s="1"/>
  <c r="AK159" i="22"/>
  <c r="AL159" i="22" s="1"/>
  <c r="AK158" i="22"/>
  <c r="AL158" i="22" s="1"/>
  <c r="AK156" i="22"/>
  <c r="AL156" i="22" s="1"/>
  <c r="AK154" i="22"/>
  <c r="AL154" i="22" s="1"/>
  <c r="AK153" i="22"/>
  <c r="AL153" i="22" s="1"/>
  <c r="AK145" i="22"/>
  <c r="AL145" i="22" s="1"/>
  <c r="AK143" i="22"/>
  <c r="AL143" i="22" s="1"/>
  <c r="AK140" i="22"/>
  <c r="AL140" i="22" s="1"/>
  <c r="AK138" i="22"/>
  <c r="AL138" i="22" s="1"/>
  <c r="AL137" i="22"/>
  <c r="AL136" i="22"/>
  <c r="AK135" i="22"/>
  <c r="AL135" i="22" s="1"/>
  <c r="AL134" i="22"/>
  <c r="AK133" i="22"/>
  <c r="AL133" i="22" s="1"/>
  <c r="AK132" i="22"/>
  <c r="AL132" i="22" s="1"/>
  <c r="AK129" i="22"/>
  <c r="AL129" i="22" s="1"/>
  <c r="AK127" i="22"/>
  <c r="AL127" i="22" s="1"/>
  <c r="AK122" i="22"/>
  <c r="AL122" i="22" s="1"/>
  <c r="AK120" i="22"/>
  <c r="AL120" i="22" s="1"/>
  <c r="AK114" i="22"/>
  <c r="AL114" i="22" s="1"/>
  <c r="AK109" i="22"/>
  <c r="AL109" i="22" s="1"/>
  <c r="AK108" i="22"/>
  <c r="AL108" i="22" s="1"/>
  <c r="AK107" i="22"/>
  <c r="AL107" i="22" s="1"/>
  <c r="AK104" i="22"/>
  <c r="AL104" i="22" s="1"/>
  <c r="AK103" i="22"/>
  <c r="AL103" i="22" s="1"/>
  <c r="AK102" i="22"/>
  <c r="AL102" i="22" s="1"/>
  <c r="AK101" i="22"/>
  <c r="AL101" i="22" s="1"/>
  <c r="AK100" i="22"/>
  <c r="AL100" i="22" s="1"/>
  <c r="AK98" i="22"/>
  <c r="AL98" i="22" s="1"/>
  <c r="AK96" i="22"/>
  <c r="AL96" i="22" s="1"/>
  <c r="AK95" i="22"/>
  <c r="AL95" i="22" s="1"/>
  <c r="AK94" i="22"/>
  <c r="AL94" i="22" s="1"/>
  <c r="AK93" i="22"/>
  <c r="AL93" i="22" s="1"/>
  <c r="AK92" i="22"/>
  <c r="AL92" i="22" s="1"/>
  <c r="AK89" i="22"/>
  <c r="AL89" i="22" s="1"/>
  <c r="AK87" i="22"/>
  <c r="AL87" i="22" s="1"/>
  <c r="AK86" i="22"/>
  <c r="AL86" i="22" s="1"/>
  <c r="AK85" i="22"/>
  <c r="AL85" i="22" s="1"/>
  <c r="AK84" i="22"/>
  <c r="AL84" i="22" s="1"/>
  <c r="AK81" i="22"/>
  <c r="AL81" i="22" s="1"/>
  <c r="AK80" i="22"/>
  <c r="AL80" i="22" s="1"/>
  <c r="AK79" i="22"/>
  <c r="AL79" i="22" s="1"/>
  <c r="AK78" i="22"/>
  <c r="AL78" i="22" s="1"/>
  <c r="AK77" i="22"/>
  <c r="AL77" i="22" s="1"/>
  <c r="AK75" i="22"/>
  <c r="AL75" i="22" s="1"/>
  <c r="AK74" i="22"/>
  <c r="AL74" i="22" s="1"/>
  <c r="AK72" i="22"/>
  <c r="AL72" i="22" s="1"/>
  <c r="AK71" i="22"/>
  <c r="AL71" i="22" s="1"/>
  <c r="AK70" i="22"/>
  <c r="AL70" i="22" s="1"/>
  <c r="AK69" i="22"/>
  <c r="AL69" i="22" s="1"/>
  <c r="AK68" i="22"/>
  <c r="AL68" i="22" s="1"/>
  <c r="AK67" i="22"/>
  <c r="AL67" i="22" s="1"/>
  <c r="AK66" i="22"/>
  <c r="AL66" i="22" s="1"/>
  <c r="AK65" i="22"/>
  <c r="AL65" i="22" s="1"/>
  <c r="AK64" i="22"/>
  <c r="AL64" i="22" s="1"/>
  <c r="AK63" i="22"/>
  <c r="AL63" i="22" s="1"/>
  <c r="AK62" i="22"/>
  <c r="AL62" i="22" s="1"/>
  <c r="AK57" i="22"/>
  <c r="AL57" i="22" s="1"/>
  <c r="AK54" i="22"/>
  <c r="AL54" i="22" s="1"/>
  <c r="AK52" i="22"/>
  <c r="AL52" i="22" s="1"/>
  <c r="AK51" i="22"/>
  <c r="AL51" i="22" s="1"/>
  <c r="AK50" i="22"/>
  <c r="AL50" i="22" s="1"/>
  <c r="AK46" i="22"/>
  <c r="AL46" i="22" s="1"/>
  <c r="AK32" i="22"/>
  <c r="AL32" i="22" s="1"/>
  <c r="AK29" i="22"/>
  <c r="AL29" i="22" s="1"/>
  <c r="AK28" i="22"/>
  <c r="AL28" i="22" s="1"/>
  <c r="AK27" i="22"/>
  <c r="AL27" i="22" s="1"/>
  <c r="AK23" i="22"/>
  <c r="AL23" i="22" s="1"/>
  <c r="AK21" i="22"/>
  <c r="AL21" i="22" s="1"/>
  <c r="AK17" i="22"/>
  <c r="AL17" i="22" s="1"/>
  <c r="AK13" i="22"/>
  <c r="AL13" i="22" s="1"/>
  <c r="AK9" i="22"/>
  <c r="AL9" i="22" s="1"/>
  <c r="AK7" i="22"/>
  <c r="AL7" i="22" s="1"/>
  <c r="AK3" i="22"/>
  <c r="AL3" i="22" s="1"/>
  <c r="AL407" i="22" l="1"/>
  <c r="K145" i="15"/>
  <c r="I167" i="15"/>
  <c r="J167" i="15" s="1"/>
  <c r="K167" i="15" s="1"/>
  <c r="I168" i="15"/>
  <c r="J168" i="15" s="1"/>
  <c r="K168" i="15" s="1"/>
  <c r="I169" i="15"/>
  <c r="J169" i="15" s="1"/>
  <c r="K169" i="15" s="1"/>
  <c r="I170" i="15"/>
  <c r="J170" i="15" s="1"/>
  <c r="K170" i="15" s="1"/>
  <c r="I171" i="15"/>
  <c r="J171" i="15" s="1"/>
  <c r="K171" i="15" s="1"/>
  <c r="I172" i="15"/>
  <c r="J172" i="15" s="1"/>
  <c r="K172" i="15" s="1"/>
  <c r="I173" i="15"/>
  <c r="J173" i="15" s="1"/>
  <c r="K173" i="15" s="1"/>
  <c r="I174" i="15"/>
  <c r="J174" i="15" s="1"/>
  <c r="K174" i="15" s="1"/>
  <c r="I175" i="15"/>
  <c r="J175" i="15" s="1"/>
  <c r="K175" i="15" s="1"/>
  <c r="I176" i="15"/>
  <c r="J176" i="15" s="1"/>
  <c r="K176" i="15" s="1"/>
  <c r="I177" i="15"/>
  <c r="J177" i="15" s="1"/>
  <c r="K177" i="15" s="1"/>
  <c r="I178" i="15"/>
  <c r="J178" i="15" s="1"/>
  <c r="K178" i="15" s="1"/>
  <c r="I179" i="15"/>
  <c r="J179" i="15" s="1"/>
  <c r="K179" i="15" s="1"/>
  <c r="I180" i="15"/>
  <c r="J180" i="15" s="1"/>
  <c r="K180" i="15" s="1"/>
  <c r="I181" i="15"/>
  <c r="J181" i="15" s="1"/>
  <c r="K181" i="15" s="1"/>
  <c r="I182" i="15"/>
  <c r="J182" i="15" s="1"/>
  <c r="K182" i="15" s="1"/>
  <c r="I183" i="15"/>
  <c r="J183" i="15" s="1"/>
  <c r="K183" i="15" s="1"/>
  <c r="I184" i="15"/>
  <c r="J184" i="15" s="1"/>
  <c r="K184" i="15" s="1"/>
  <c r="I185" i="15"/>
  <c r="J185" i="15" s="1"/>
  <c r="K185" i="15" s="1"/>
  <c r="I186" i="15"/>
  <c r="J186" i="15" s="1"/>
  <c r="K186" i="15" s="1"/>
  <c r="I187" i="15"/>
  <c r="J187" i="15" s="1"/>
  <c r="K187" i="15" s="1"/>
  <c r="I188" i="15"/>
  <c r="J188" i="15" s="1"/>
  <c r="K188" i="15" s="1"/>
  <c r="I189" i="15"/>
  <c r="J189" i="15" s="1"/>
  <c r="K189" i="15" s="1"/>
  <c r="I190" i="15"/>
  <c r="J190" i="15" s="1"/>
  <c r="K190" i="15" s="1"/>
  <c r="I191" i="15"/>
  <c r="J191" i="15" s="1"/>
  <c r="K191" i="15" s="1"/>
  <c r="I192" i="15"/>
  <c r="J192" i="15" s="1"/>
  <c r="K192" i="15" s="1"/>
  <c r="I193" i="15"/>
  <c r="J193" i="15" s="1"/>
  <c r="K193" i="15" s="1"/>
  <c r="I194" i="15"/>
  <c r="J194" i="15" s="1"/>
  <c r="K194" i="15" s="1"/>
  <c r="I195" i="15"/>
  <c r="J195" i="15" s="1"/>
  <c r="K195" i="15" s="1"/>
  <c r="I196" i="15"/>
  <c r="J196" i="15" s="1"/>
  <c r="K196" i="15" s="1"/>
  <c r="I197" i="15"/>
  <c r="J197" i="15" s="1"/>
  <c r="K197" i="15" s="1"/>
  <c r="I198" i="15"/>
  <c r="J198" i="15" s="1"/>
  <c r="K198" i="15" s="1"/>
  <c r="I199" i="15"/>
  <c r="J199" i="15" s="1"/>
  <c r="K199" i="15" s="1"/>
  <c r="I200" i="15"/>
  <c r="J200" i="15" s="1"/>
  <c r="K200" i="15" s="1"/>
  <c r="I201" i="15"/>
  <c r="J201" i="15" s="1"/>
  <c r="K201" i="15" s="1"/>
  <c r="I202" i="15"/>
  <c r="J202" i="15" s="1"/>
  <c r="K202" i="15" s="1"/>
  <c r="I203" i="15"/>
  <c r="J203" i="15" s="1"/>
  <c r="K203" i="15" s="1"/>
  <c r="I204" i="15"/>
  <c r="J204" i="15" s="1"/>
  <c r="K204" i="15" s="1"/>
  <c r="I205" i="15"/>
  <c r="J205" i="15" s="1"/>
  <c r="K205" i="15" s="1"/>
  <c r="I206" i="15"/>
  <c r="J206" i="15" s="1"/>
  <c r="K206" i="15" s="1"/>
  <c r="I207" i="15"/>
  <c r="J207" i="15" s="1"/>
  <c r="I208" i="15"/>
  <c r="J208" i="15" s="1"/>
  <c r="I209" i="15"/>
  <c r="J209" i="15" s="1"/>
  <c r="I210" i="15"/>
  <c r="I211" i="15"/>
  <c r="J211" i="15" s="1"/>
  <c r="I212" i="15"/>
  <c r="I213" i="15"/>
  <c r="I214" i="15"/>
  <c r="I215" i="15"/>
  <c r="J215" i="15" s="1"/>
  <c r="I216" i="15"/>
  <c r="J216" i="15" s="1"/>
  <c r="I217" i="15"/>
  <c r="J217" i="15" s="1"/>
  <c r="I218" i="15"/>
  <c r="I219" i="15"/>
  <c r="I220" i="15"/>
  <c r="I221" i="15"/>
  <c r="I222" i="15"/>
  <c r="J222" i="15" s="1"/>
  <c r="I223" i="15"/>
  <c r="I224" i="15"/>
  <c r="J224" i="15" s="1"/>
  <c r="I225" i="15"/>
  <c r="J225" i="15" s="1"/>
  <c r="I226" i="15"/>
  <c r="I227" i="15"/>
  <c r="J227" i="15" s="1"/>
  <c r="I228" i="15"/>
  <c r="J228" i="15" s="1"/>
  <c r="I229" i="15"/>
  <c r="I230" i="15"/>
  <c r="J230" i="15" s="1"/>
  <c r="I231" i="15"/>
  <c r="J231" i="15" s="1"/>
  <c r="I232" i="15"/>
  <c r="J232" i="15" s="1"/>
  <c r="I233" i="15"/>
  <c r="J233" i="15" s="1"/>
  <c r="I234" i="15"/>
  <c r="I235" i="15"/>
  <c r="I236" i="15"/>
  <c r="I237" i="15"/>
  <c r="J237" i="15" s="1"/>
  <c r="I238" i="15"/>
  <c r="J238" i="15" s="1"/>
  <c r="I239" i="15"/>
  <c r="I240" i="15"/>
  <c r="J240" i="15" s="1"/>
  <c r="I241" i="15"/>
  <c r="J241" i="15" s="1"/>
  <c r="I242" i="15"/>
  <c r="J242" i="15" s="1"/>
  <c r="I243" i="15"/>
  <c r="J243" i="15" s="1"/>
  <c r="I244" i="15"/>
  <c r="J244" i="15" s="1"/>
  <c r="I245" i="15"/>
  <c r="J245" i="15" s="1"/>
  <c r="I246" i="15"/>
  <c r="J246" i="15" s="1"/>
  <c r="I247" i="15"/>
  <c r="J247" i="15" s="1"/>
  <c r="I248" i="15"/>
  <c r="J248" i="15" s="1"/>
  <c r="I249" i="15"/>
  <c r="J249" i="15" s="1"/>
  <c r="I250" i="15"/>
  <c r="J250" i="15" s="1"/>
  <c r="I251" i="15"/>
  <c r="J251" i="15" s="1"/>
  <c r="I252" i="15"/>
  <c r="J252" i="15" s="1"/>
  <c r="I253" i="15"/>
  <c r="J253" i="15" s="1"/>
  <c r="I254" i="15"/>
  <c r="J254" i="15" s="1"/>
  <c r="I255" i="15"/>
  <c r="I256" i="15"/>
  <c r="J256" i="15" s="1"/>
  <c r="I257" i="15"/>
  <c r="I258" i="15"/>
  <c r="I259" i="15"/>
  <c r="I260" i="15"/>
  <c r="I261" i="15"/>
  <c r="I262" i="15"/>
  <c r="I263" i="15"/>
  <c r="I264" i="15"/>
  <c r="I265" i="15"/>
  <c r="I266" i="15"/>
  <c r="I267" i="15"/>
  <c r="I268" i="15"/>
  <c r="I269" i="15"/>
  <c r="I270" i="15"/>
  <c r="I271" i="15"/>
  <c r="I272" i="15"/>
  <c r="I273" i="15"/>
  <c r="I274" i="15"/>
  <c r="I275" i="15"/>
  <c r="J275" i="15" s="1"/>
  <c r="I276" i="15"/>
  <c r="I277" i="15"/>
  <c r="I278" i="15"/>
  <c r="J278" i="15" s="1"/>
  <c r="I279" i="15"/>
  <c r="J279" i="15" s="1"/>
  <c r="I280" i="15"/>
  <c r="J280" i="15" s="1"/>
  <c r="I281" i="15"/>
  <c r="J281" i="15" s="1"/>
  <c r="I282" i="15"/>
  <c r="J282" i="15" s="1"/>
  <c r="I283" i="15"/>
  <c r="J283" i="15" s="1"/>
  <c r="I284" i="15"/>
  <c r="I285" i="15"/>
  <c r="I286" i="15"/>
  <c r="J286" i="15" s="1"/>
  <c r="I287" i="15"/>
  <c r="I288" i="15"/>
  <c r="J288" i="15" s="1"/>
  <c r="I289" i="15"/>
  <c r="J289" i="15" s="1"/>
  <c r="I290" i="15"/>
  <c r="J290" i="15" s="1"/>
  <c r="I291" i="15"/>
  <c r="J291" i="15" s="1"/>
  <c r="I292" i="15"/>
  <c r="I293" i="15"/>
  <c r="J293" i="15" s="1"/>
  <c r="I294" i="15"/>
  <c r="I295" i="15"/>
  <c r="I296" i="15"/>
  <c r="J296" i="15" s="1"/>
  <c r="I297" i="15"/>
  <c r="J297" i="15" s="1"/>
  <c r="I298" i="15"/>
  <c r="J298" i="15" s="1"/>
  <c r="I299" i="15"/>
  <c r="J299" i="15" s="1"/>
  <c r="I300" i="15"/>
  <c r="J300" i="15" s="1"/>
  <c r="K300" i="15" s="1"/>
  <c r="I301" i="15"/>
  <c r="J301" i="15" s="1"/>
  <c r="K301" i="15" s="1"/>
  <c r="I302" i="15"/>
  <c r="J302" i="15" s="1"/>
  <c r="K302" i="15" s="1"/>
  <c r="I303" i="15"/>
  <c r="J303" i="15" s="1"/>
  <c r="K303" i="15" s="1"/>
  <c r="I304" i="15"/>
  <c r="J304" i="15" s="1"/>
  <c r="K304" i="15" s="1"/>
  <c r="I305" i="15"/>
  <c r="J305" i="15" s="1"/>
  <c r="K305" i="15" s="1"/>
  <c r="I306" i="15"/>
  <c r="J306" i="15" s="1"/>
  <c r="K306" i="15" s="1"/>
  <c r="I307" i="15"/>
  <c r="J307" i="15" s="1"/>
  <c r="K307" i="15" s="1"/>
  <c r="I308" i="15"/>
  <c r="J308" i="15" s="1"/>
  <c r="K308" i="15" s="1"/>
  <c r="I309" i="15"/>
  <c r="J309" i="15" s="1"/>
  <c r="K309" i="15" s="1"/>
  <c r="I310" i="15"/>
  <c r="J310" i="15" s="1"/>
  <c r="K310" i="15" s="1"/>
  <c r="I311" i="15"/>
  <c r="J311" i="15" s="1"/>
  <c r="K311" i="15" s="1"/>
  <c r="I312" i="15"/>
  <c r="J312" i="15" s="1"/>
  <c r="K312" i="15" s="1"/>
  <c r="I313" i="15"/>
  <c r="J313" i="15" s="1"/>
  <c r="K313" i="15" s="1"/>
  <c r="I314" i="15"/>
  <c r="J314" i="15" s="1"/>
  <c r="K314" i="15" s="1"/>
  <c r="I315" i="15"/>
  <c r="J315" i="15" s="1"/>
  <c r="K315" i="15" s="1"/>
  <c r="I316" i="15"/>
  <c r="J316" i="15" s="1"/>
  <c r="K316" i="15" s="1"/>
  <c r="I317" i="15"/>
  <c r="J317" i="15" s="1"/>
  <c r="K317" i="15" s="1"/>
  <c r="I318" i="15"/>
  <c r="J318" i="15" s="1"/>
  <c r="K318" i="15" s="1"/>
  <c r="I319" i="15"/>
  <c r="J319" i="15" s="1"/>
  <c r="K319" i="15" s="1"/>
  <c r="I320" i="15"/>
  <c r="J320" i="15" s="1"/>
  <c r="K320" i="15" s="1"/>
  <c r="I321" i="15"/>
  <c r="J321" i="15" s="1"/>
  <c r="K321" i="15" s="1"/>
  <c r="I322" i="15"/>
  <c r="J322" i="15" s="1"/>
  <c r="K322" i="15" s="1"/>
  <c r="I323" i="15"/>
  <c r="J323" i="15" s="1"/>
  <c r="K323" i="15" s="1"/>
  <c r="I324" i="15"/>
  <c r="J324" i="15" s="1"/>
  <c r="K324" i="15" s="1"/>
  <c r="I325" i="15"/>
  <c r="J325" i="15" s="1"/>
  <c r="K325" i="15" s="1"/>
  <c r="I326" i="15"/>
  <c r="J326" i="15" s="1"/>
  <c r="K326" i="15" s="1"/>
  <c r="I327" i="15"/>
  <c r="J327" i="15" s="1"/>
  <c r="K327" i="15" s="1"/>
  <c r="I328" i="15"/>
  <c r="J328" i="15" s="1"/>
  <c r="K328" i="15" s="1"/>
  <c r="I329" i="15"/>
  <c r="J329" i="15" s="1"/>
  <c r="K329" i="15" s="1"/>
  <c r="I330" i="15"/>
  <c r="J330" i="15" s="1"/>
  <c r="K330" i="15" s="1"/>
  <c r="I166" i="15"/>
  <c r="J166" i="15" s="1"/>
  <c r="K166" i="15" s="1"/>
  <c r="I142" i="15"/>
  <c r="K215" i="15" l="1"/>
  <c r="J263" i="15"/>
  <c r="K263" i="15" s="1"/>
  <c r="J223" i="15"/>
  <c r="K223" i="15" s="1"/>
  <c r="J268" i="15"/>
  <c r="K268" i="15" s="1"/>
  <c r="J213" i="15"/>
  <c r="K213" i="15" s="1"/>
  <c r="J255" i="15"/>
  <c r="K255" i="15" s="1"/>
  <c r="J239" i="15"/>
  <c r="K239" i="15" s="1"/>
  <c r="J267" i="15"/>
  <c r="K267" i="15" s="1"/>
  <c r="J287" i="15"/>
  <c r="K287" i="15" s="1"/>
  <c r="K250" i="15"/>
  <c r="K242" i="15"/>
  <c r="J220" i="15"/>
  <c r="K220" i="15" s="1"/>
  <c r="J212" i="15"/>
  <c r="K212" i="15" s="1"/>
  <c r="J235" i="15"/>
  <c r="K235" i="15" s="1"/>
  <c r="J274" i="15"/>
  <c r="K274" i="15" s="1"/>
  <c r="J266" i="15"/>
  <c r="K266" i="15" s="1"/>
  <c r="J258" i="15"/>
  <c r="K258" i="15" s="1"/>
  <c r="J295" i="15"/>
  <c r="K295" i="15" s="1"/>
  <c r="K249" i="15"/>
  <c r="K241" i="15"/>
  <c r="K233" i="15"/>
  <c r="K225" i="15"/>
  <c r="J219" i="15"/>
  <c r="K219" i="15" s="1"/>
  <c r="J234" i="15"/>
  <c r="K234" i="15" s="1"/>
  <c r="J226" i="15"/>
  <c r="K226" i="15" s="1"/>
  <c r="J273" i="15"/>
  <c r="K273" i="15" s="1"/>
  <c r="J265" i="15"/>
  <c r="K265" i="15" s="1"/>
  <c r="J257" i="15"/>
  <c r="K257" i="15" s="1"/>
  <c r="J285" i="15"/>
  <c r="K285" i="15" s="1"/>
  <c r="J277" i="15"/>
  <c r="K277" i="15" s="1"/>
  <c r="J294" i="15"/>
  <c r="K294" i="15" s="1"/>
  <c r="K279" i="15"/>
  <c r="K247" i="15"/>
  <c r="K231" i="15"/>
  <c r="J271" i="15"/>
  <c r="K271" i="15" s="1"/>
  <c r="K286" i="15"/>
  <c r="K278" i="15"/>
  <c r="J270" i="15"/>
  <c r="K270" i="15" s="1"/>
  <c r="J262" i="15"/>
  <c r="K262" i="15" s="1"/>
  <c r="K237" i="15"/>
  <c r="J269" i="15"/>
  <c r="K269" i="15" s="1"/>
  <c r="J261" i="15"/>
  <c r="K261" i="15" s="1"/>
  <c r="K228" i="15"/>
  <c r="J214" i="15"/>
  <c r="K214" i="15" s="1"/>
  <c r="J229" i="15"/>
  <c r="K229" i="15" s="1"/>
  <c r="J260" i="15"/>
  <c r="K260" i="15" s="1"/>
  <c r="K227" i="15"/>
  <c r="K211" i="15"/>
  <c r="J221" i="15"/>
  <c r="K221" i="15" s="1"/>
  <c r="J236" i="15"/>
  <c r="K236" i="15" s="1"/>
  <c r="J259" i="15"/>
  <c r="K259" i="15" s="1"/>
  <c r="K296" i="15"/>
  <c r="K256" i="15"/>
  <c r="K248" i="15"/>
  <c r="K240" i="15"/>
  <c r="K232" i="15"/>
  <c r="K224" i="15"/>
  <c r="J218" i="15"/>
  <c r="K218" i="15" s="1"/>
  <c r="J210" i="15"/>
  <c r="K210" i="15" s="1"/>
  <c r="J272" i="15"/>
  <c r="K272" i="15" s="1"/>
  <c r="J264" i="15"/>
  <c r="K264" i="15" s="1"/>
  <c r="J292" i="15"/>
  <c r="K292" i="15" s="1"/>
  <c r="J284" i="15"/>
  <c r="K284" i="15" s="1"/>
  <c r="J276" i="15"/>
  <c r="K276" i="15" s="1"/>
  <c r="K293" i="15"/>
  <c r="K299" i="15"/>
  <c r="K298" i="15"/>
  <c r="K297" i="15"/>
  <c r="K291" i="15"/>
  <c r="K275" i="15"/>
  <c r="K282" i="15"/>
  <c r="K289" i="15"/>
  <c r="K281" i="15"/>
  <c r="K283" i="15"/>
  <c r="K290" i="15"/>
  <c r="K288" i="15"/>
  <c r="K280" i="15"/>
  <c r="K254" i="15"/>
  <c r="K245" i="15"/>
  <c r="K252" i="15"/>
  <c r="K244" i="15"/>
  <c r="K246" i="15"/>
  <c r="K253" i="15"/>
  <c r="K251" i="15"/>
  <c r="K243" i="15"/>
  <c r="K238" i="15"/>
  <c r="K230" i="15"/>
  <c r="K222" i="15"/>
  <c r="K217" i="15"/>
  <c r="K209" i="15"/>
  <c r="K216" i="15"/>
  <c r="K208" i="15"/>
  <c r="K207" i="15"/>
  <c r="J142" i="15"/>
  <c r="K142" i="15" s="1"/>
  <c r="K342" i="22"/>
  <c r="K341" i="22"/>
  <c r="K340" i="22"/>
  <c r="X4" i="21" l="1"/>
  <c r="X20" i="21" s="1"/>
  <c r="P4" i="21" l="1"/>
  <c r="P3" i="21"/>
  <c r="P20" i="21" s="1"/>
  <c r="O3" i="21"/>
  <c r="K3" i="21"/>
  <c r="K20" i="21" s="1"/>
  <c r="Q3" i="21"/>
  <c r="Q20" i="21" s="1"/>
  <c r="O4" i="21"/>
  <c r="L3" i="21"/>
  <c r="L20" i="21" s="1"/>
  <c r="I3" i="21"/>
  <c r="I20" i="21" s="1"/>
  <c r="F6" i="21"/>
  <c r="F20" i="21" s="1"/>
  <c r="H6" i="21"/>
  <c r="H4" i="21"/>
  <c r="H3" i="21"/>
  <c r="H20" i="21" s="1"/>
  <c r="AC3" i="21"/>
  <c r="AC20" i="21" s="1"/>
  <c r="AA3" i="21"/>
  <c r="AA20" i="21" s="1"/>
  <c r="Z4" i="21"/>
  <c r="Z3" i="21"/>
  <c r="Y4" i="21"/>
  <c r="Y3" i="21"/>
  <c r="Y20" i="21" s="1"/>
  <c r="R3" i="21"/>
  <c r="R20" i="21" s="1"/>
  <c r="V3" i="21"/>
  <c r="V20" i="21" s="1"/>
  <c r="T4" i="21"/>
  <c r="T20" i="21" s="1"/>
  <c r="G6" i="21"/>
  <c r="G4" i="21"/>
  <c r="G20" i="21" s="1"/>
  <c r="O20" i="21" l="1"/>
  <c r="Z20" i="21"/>
  <c r="AB4" i="21"/>
  <c r="AB3" i="21"/>
  <c r="AB20" i="21" s="1"/>
  <c r="J3" i="21"/>
  <c r="J20" i="21" s="1"/>
  <c r="M3" i="21"/>
  <c r="M20" i="21" s="1"/>
  <c r="AD3" i="21"/>
  <c r="AD20" i="21" s="1"/>
  <c r="S4" i="21"/>
  <c r="S3" i="21"/>
  <c r="N5" i="21"/>
  <c r="N4" i="21"/>
  <c r="W4" i="21"/>
  <c r="W3" i="21"/>
  <c r="W20" i="21" s="1"/>
  <c r="N3" i="21"/>
  <c r="H169" i="20"/>
  <c r="I169" i="20"/>
  <c r="J169" i="20" s="1"/>
  <c r="F129" i="20"/>
  <c r="F135" i="20"/>
  <c r="F188" i="20"/>
  <c r="F185" i="20"/>
  <c r="I183" i="20"/>
  <c r="J183" i="20" s="1"/>
  <c r="H183" i="20"/>
  <c r="F179" i="20"/>
  <c r="F176" i="20"/>
  <c r="F174" i="20"/>
  <c r="I170" i="20"/>
  <c r="J170" i="20" s="1"/>
  <c r="H170" i="20"/>
  <c r="I165" i="20"/>
  <c r="H165" i="20"/>
  <c r="F163" i="20"/>
  <c r="I159" i="20"/>
  <c r="J159" i="20" s="1"/>
  <c r="H159" i="20"/>
  <c r="F158" i="20"/>
  <c r="F146" i="20"/>
  <c r="F144" i="20"/>
  <c r="I136" i="20"/>
  <c r="J136" i="20" s="1"/>
  <c r="H136" i="20"/>
  <c r="I137" i="20"/>
  <c r="J137" i="20" s="1"/>
  <c r="H137" i="20"/>
  <c r="I132" i="20"/>
  <c r="J132" i="20" s="1"/>
  <c r="H132" i="20"/>
  <c r="F124" i="20"/>
  <c r="I118" i="20"/>
  <c r="J118" i="20" s="1"/>
  <c r="H118" i="20"/>
  <c r="I115" i="20"/>
  <c r="J115" i="20" s="1"/>
  <c r="H115" i="20"/>
  <c r="I113" i="20"/>
  <c r="J113" i="20" s="1"/>
  <c r="H113" i="20"/>
  <c r="I105" i="20"/>
  <c r="J105" i="20" s="1"/>
  <c r="H105" i="20"/>
  <c r="I92" i="20"/>
  <c r="J92" i="20" s="1"/>
  <c r="H92" i="20"/>
  <c r="F88" i="20"/>
  <c r="F85" i="20"/>
  <c r="I83" i="20"/>
  <c r="J83" i="20" s="1"/>
  <c r="H83" i="20"/>
  <c r="S20" i="21" l="1"/>
  <c r="N20" i="21"/>
  <c r="F67" i="20"/>
  <c r="I69" i="20"/>
  <c r="J69" i="20" s="1"/>
  <c r="H69" i="20"/>
  <c r="I62" i="20"/>
  <c r="J62" i="20" s="1"/>
  <c r="H62" i="20"/>
  <c r="I60" i="20"/>
  <c r="J60" i="20" s="1"/>
  <c r="H60" i="20"/>
  <c r="I57" i="20"/>
  <c r="J57" i="20" s="1"/>
  <c r="H57" i="20"/>
  <c r="I47" i="20"/>
  <c r="J47" i="20" s="1"/>
  <c r="H47" i="20"/>
  <c r="F46" i="20"/>
  <c r="F37" i="20"/>
  <c r="I13" i="20"/>
  <c r="J13" i="20" s="1"/>
  <c r="H13" i="20"/>
  <c r="F12" i="20"/>
  <c r="H155" i="20" l="1"/>
  <c r="H89" i="20"/>
  <c r="H65" i="20"/>
  <c r="H110" i="20"/>
  <c r="H12" i="20"/>
  <c r="H193" i="20"/>
  <c r="H188" i="20"/>
  <c r="H182" i="20"/>
  <c r="H181" i="20"/>
  <c r="H180" i="20"/>
  <c r="H174" i="20"/>
  <c r="H164" i="20"/>
  <c r="H162" i="20"/>
  <c r="H161" i="20"/>
  <c r="H160" i="20"/>
  <c r="H156" i="20"/>
  <c r="H154" i="20"/>
  <c r="H143" i="20"/>
  <c r="H142" i="20"/>
  <c r="H134" i="20"/>
  <c r="H131" i="20"/>
  <c r="H194" i="20"/>
  <c r="H114" i="20"/>
  <c r="H117" i="20"/>
  <c r="H106" i="20"/>
  <c r="H97" i="20"/>
  <c r="H87" i="20"/>
  <c r="H79" i="20"/>
  <c r="H78" i="20"/>
  <c r="H71" i="20"/>
  <c r="H64" i="20"/>
  <c r="H58" i="20"/>
  <c r="H55" i="20"/>
  <c r="H38" i="20"/>
  <c r="H30" i="20"/>
  <c r="H18" i="20"/>
  <c r="H3" i="20"/>
  <c r="H2" i="20"/>
  <c r="H127" i="20"/>
  <c r="H124" i="20"/>
  <c r="H99" i="20"/>
  <c r="H171" i="20"/>
  <c r="H52" i="20"/>
  <c r="H50" i="20"/>
  <c r="H34" i="20"/>
  <c r="H4" i="20"/>
  <c r="H5" i="20"/>
  <c r="H6" i="20"/>
  <c r="H7" i="20"/>
  <c r="H8" i="20"/>
  <c r="H9" i="20"/>
  <c r="H10" i="20"/>
  <c r="H11" i="20"/>
  <c r="H14" i="20"/>
  <c r="H15" i="20"/>
  <c r="H16" i="20"/>
  <c r="H17" i="20"/>
  <c r="H19" i="20"/>
  <c r="H20" i="20"/>
  <c r="H21" i="20"/>
  <c r="H22" i="20"/>
  <c r="H23" i="20"/>
  <c r="H24" i="20"/>
  <c r="H25" i="20"/>
  <c r="H26" i="20"/>
  <c r="H27" i="20"/>
  <c r="H28" i="20"/>
  <c r="H29" i="20"/>
  <c r="H31" i="20"/>
  <c r="H32" i="20"/>
  <c r="H33" i="20"/>
  <c r="H35" i="20"/>
  <c r="H36" i="20"/>
  <c r="H37" i="20"/>
  <c r="H39" i="20"/>
  <c r="H40" i="20"/>
  <c r="H41" i="20"/>
  <c r="H42" i="20"/>
  <c r="H43" i="20"/>
  <c r="H44" i="20"/>
  <c r="H45" i="20"/>
  <c r="H46" i="20"/>
  <c r="H48" i="20"/>
  <c r="H49" i="20"/>
  <c r="H51" i="20"/>
  <c r="H53" i="20"/>
  <c r="H54" i="20"/>
  <c r="H56" i="20"/>
  <c r="H59" i="20"/>
  <c r="H63" i="20"/>
  <c r="H61" i="20"/>
  <c r="H66" i="20"/>
  <c r="H67" i="20"/>
  <c r="H68" i="20"/>
  <c r="H70" i="20"/>
  <c r="H72" i="20"/>
  <c r="H73" i="20"/>
  <c r="H74" i="20"/>
  <c r="H75" i="20"/>
  <c r="H76" i="20"/>
  <c r="H77" i="20"/>
  <c r="H80" i="20"/>
  <c r="H81" i="20"/>
  <c r="H82" i="20"/>
  <c r="H84" i="20"/>
  <c r="H85" i="20"/>
  <c r="H86" i="20"/>
  <c r="H88" i="20"/>
  <c r="H90" i="20"/>
  <c r="H91" i="20"/>
  <c r="H93" i="20"/>
  <c r="H94" i="20"/>
  <c r="H95" i="20"/>
  <c r="H96" i="20"/>
  <c r="H98" i="20"/>
  <c r="H100" i="20"/>
  <c r="H101" i="20"/>
  <c r="H102" i="20"/>
  <c r="H103" i="20"/>
  <c r="H104" i="20"/>
  <c r="H107" i="20"/>
  <c r="H108" i="20"/>
  <c r="H109" i="20"/>
  <c r="H111" i="20"/>
  <c r="H112" i="20"/>
  <c r="H116" i="20"/>
  <c r="H119" i="20"/>
  <c r="H120" i="20"/>
  <c r="H121" i="20"/>
  <c r="H122" i="20"/>
  <c r="H123" i="20"/>
  <c r="H125" i="20"/>
  <c r="H126" i="20"/>
  <c r="H128" i="20"/>
  <c r="H129" i="20"/>
  <c r="H130" i="20"/>
  <c r="H133" i="20"/>
  <c r="H135" i="20"/>
  <c r="H138" i="20"/>
  <c r="H139" i="20"/>
  <c r="H140" i="20"/>
  <c r="H141" i="20"/>
  <c r="H144" i="20"/>
  <c r="H145" i="20"/>
  <c r="H146" i="20"/>
  <c r="H147" i="20"/>
  <c r="H148" i="20"/>
  <c r="H149" i="20"/>
  <c r="H150" i="20"/>
  <c r="H151" i="20"/>
  <c r="H152" i="20"/>
  <c r="H153" i="20"/>
  <c r="H157" i="20"/>
  <c r="H158" i="20"/>
  <c r="H163" i="20"/>
  <c r="H166" i="20"/>
  <c r="H167" i="20"/>
  <c r="H168" i="20"/>
  <c r="H172" i="20"/>
  <c r="H173" i="20"/>
  <c r="H175" i="20"/>
  <c r="H176" i="20"/>
  <c r="H177" i="20"/>
  <c r="H178" i="20"/>
  <c r="H179" i="20"/>
  <c r="H184" i="20"/>
  <c r="H185" i="20"/>
  <c r="H186" i="20"/>
  <c r="H187" i="20"/>
  <c r="H189" i="20"/>
  <c r="H190" i="20"/>
  <c r="H191" i="20"/>
  <c r="H192" i="20"/>
  <c r="H195" i="20"/>
  <c r="H196" i="20"/>
  <c r="H197" i="20"/>
  <c r="I87" i="20" l="1"/>
  <c r="I6" i="20"/>
  <c r="I55" i="20"/>
  <c r="I58" i="20"/>
  <c r="I124" i="20"/>
  <c r="I97" i="20"/>
  <c r="I127" i="20"/>
  <c r="I50" i="20"/>
  <c r="I52" i="20"/>
  <c r="I34" i="20"/>
  <c r="I171" i="20"/>
  <c r="I99" i="20"/>
  <c r="I110" i="20" l="1"/>
  <c r="J110" i="20" s="1"/>
  <c r="I12" i="20"/>
  <c r="J12" i="20" s="1"/>
  <c r="I89" i="20"/>
  <c r="J89" i="20" s="1"/>
  <c r="I155" i="20"/>
  <c r="J155" i="20" s="1"/>
  <c r="I65" i="20"/>
  <c r="J65" i="20" s="1"/>
  <c r="I182" i="20"/>
  <c r="J182" i="20" s="1"/>
  <c r="I78" i="20"/>
  <c r="J78" i="20" s="1"/>
  <c r="I131" i="20"/>
  <c r="J131" i="20" s="1"/>
  <c r="I134" i="20"/>
  <c r="J134" i="20" s="1"/>
  <c r="I143" i="20"/>
  <c r="J143" i="20" s="1"/>
  <c r="I174" i="20"/>
  <c r="J174" i="20" s="1"/>
  <c r="I114" i="20"/>
  <c r="J114" i="20" s="1"/>
  <c r="I193" i="20"/>
  <c r="J193" i="20" s="1"/>
  <c r="I181" i="20"/>
  <c r="J181" i="20" s="1"/>
  <c r="I154" i="20"/>
  <c r="J154" i="20" s="1"/>
  <c r="I142" i="20"/>
  <c r="J142" i="20" s="1"/>
  <c r="I117" i="20"/>
  <c r="J117" i="20" s="1"/>
  <c r="I79" i="20"/>
  <c r="J79" i="20" s="1"/>
  <c r="I71" i="20"/>
  <c r="J71" i="20" s="1"/>
  <c r="I64" i="20"/>
  <c r="J64" i="20" s="1"/>
  <c r="I3" i="20"/>
  <c r="J3" i="20" s="1"/>
  <c r="I2" i="20"/>
  <c r="J2" i="20" s="1"/>
  <c r="I164" i="20"/>
  <c r="J164" i="20" s="1"/>
  <c r="I18" i="20"/>
  <c r="J18" i="20" s="1"/>
  <c r="I180" i="20"/>
  <c r="J180" i="20" s="1"/>
  <c r="I156" i="20"/>
  <c r="J156" i="20" s="1"/>
  <c r="I38" i="20"/>
  <c r="J38" i="20" s="1"/>
  <c r="I106" i="20"/>
  <c r="J106" i="20" s="1"/>
  <c r="I162" i="20"/>
  <c r="J162" i="20" s="1"/>
  <c r="I161" i="20"/>
  <c r="J161" i="20" s="1"/>
  <c r="I160" i="20"/>
  <c r="J160" i="20" s="1"/>
  <c r="I194" i="20"/>
  <c r="J194" i="20" s="1"/>
  <c r="I188" i="20"/>
  <c r="J188" i="20" s="1"/>
  <c r="I30" i="20"/>
  <c r="J30" i="20" s="1"/>
  <c r="I21" i="20"/>
  <c r="J21" i="20" s="1"/>
  <c r="I22" i="20"/>
  <c r="J22" i="20" s="1"/>
  <c r="I29" i="20"/>
  <c r="J29" i="20" s="1"/>
  <c r="J34" i="20"/>
  <c r="I73" i="20"/>
  <c r="J73" i="20" s="1"/>
  <c r="I75" i="20"/>
  <c r="J75" i="20" s="1"/>
  <c r="I80" i="20"/>
  <c r="J80" i="20" s="1"/>
  <c r="I86" i="20"/>
  <c r="J86" i="20" s="1"/>
  <c r="I109" i="20"/>
  <c r="J109" i="20" s="1"/>
  <c r="I120" i="20"/>
  <c r="J120" i="20" s="1"/>
  <c r="I123" i="20"/>
  <c r="J123" i="20" s="1"/>
  <c r="I133" i="20"/>
  <c r="J133" i="20" s="1"/>
  <c r="I147" i="20"/>
  <c r="J147" i="20" s="1"/>
  <c r="I77" i="20"/>
  <c r="J77" i="20" s="1"/>
  <c r="I85" i="20"/>
  <c r="J85" i="20" s="1"/>
  <c r="I138" i="20"/>
  <c r="J138" i="20" s="1"/>
  <c r="I184" i="20"/>
  <c r="J184" i="20" s="1"/>
  <c r="I140" i="20"/>
  <c r="J140" i="20" s="1"/>
  <c r="I84" i="20"/>
  <c r="J84" i="20" s="1"/>
  <c r="I59" i="20"/>
  <c r="J59" i="20" s="1"/>
  <c r="I72" i="20"/>
  <c r="J72" i="20" s="1"/>
  <c r="I153" i="20"/>
  <c r="J153" i="20" s="1"/>
  <c r="I157" i="20"/>
  <c r="J157" i="20" s="1"/>
  <c r="I175" i="20"/>
  <c r="J175" i="20" s="1"/>
  <c r="I10" i="20"/>
  <c r="J10" i="20" s="1"/>
  <c r="I44" i="20"/>
  <c r="J44" i="20" s="1"/>
  <c r="I102" i="20"/>
  <c r="J102" i="20" s="1"/>
  <c r="I27" i="20"/>
  <c r="J27" i="20" s="1"/>
  <c r="I39" i="20"/>
  <c r="J39" i="20" s="1"/>
  <c r="I95" i="20"/>
  <c r="J95" i="20" s="1"/>
  <c r="J97" i="20"/>
  <c r="I103" i="20"/>
  <c r="J103" i="20" s="1"/>
  <c r="I98" i="20"/>
  <c r="J98" i="20" s="1"/>
  <c r="I107" i="20"/>
  <c r="J107" i="20" s="1"/>
  <c r="I7" i="20"/>
  <c r="J7" i="20" s="1"/>
  <c r="I151" i="20"/>
  <c r="J151" i="20" s="1"/>
  <c r="I46" i="20"/>
  <c r="J46" i="20" s="1"/>
  <c r="I91" i="20"/>
  <c r="J91" i="20" s="1"/>
  <c r="I104" i="20"/>
  <c r="J104" i="20" s="1"/>
  <c r="I126" i="20"/>
  <c r="J126" i="20" s="1"/>
  <c r="J171" i="20"/>
  <c r="J50" i="20"/>
  <c r="I101" i="20"/>
  <c r="J101" i="20" s="1"/>
  <c r="I186" i="20"/>
  <c r="J186" i="20" s="1"/>
  <c r="I9" i="20"/>
  <c r="J9" i="20" s="1"/>
  <c r="I15" i="20"/>
  <c r="J15" i="20" s="1"/>
  <c r="I16" i="20"/>
  <c r="J16" i="20" s="1"/>
  <c r="I20" i="20"/>
  <c r="J20" i="20" s="1"/>
  <c r="I23" i="20"/>
  <c r="J23" i="20" s="1"/>
  <c r="I24" i="20"/>
  <c r="J24" i="20" s="1"/>
  <c r="I26" i="20"/>
  <c r="J26" i="20" s="1"/>
  <c r="I28" i="20"/>
  <c r="J28" i="20" s="1"/>
  <c r="I37" i="20"/>
  <c r="J37" i="20" s="1"/>
  <c r="I41" i="20"/>
  <c r="J41" i="20" s="1"/>
  <c r="I42" i="20"/>
  <c r="J42" i="20" s="1"/>
  <c r="I43" i="20"/>
  <c r="J43" i="20" s="1"/>
  <c r="I49" i="20"/>
  <c r="J49" i="20" s="1"/>
  <c r="J52" i="20"/>
  <c r="I53" i="20"/>
  <c r="J53" i="20" s="1"/>
  <c r="I56" i="20"/>
  <c r="J56" i="20" s="1"/>
  <c r="J87" i="20"/>
  <c r="I94" i="20"/>
  <c r="J94" i="20" s="1"/>
  <c r="I96" i="20"/>
  <c r="J96" i="20" s="1"/>
  <c r="J99" i="20"/>
  <c r="I122" i="20"/>
  <c r="J122" i="20" s="1"/>
  <c r="I129" i="20"/>
  <c r="J129" i="20" s="1"/>
  <c r="I141" i="20"/>
  <c r="J141" i="20" s="1"/>
  <c r="I145" i="20"/>
  <c r="J145" i="20" s="1"/>
  <c r="I150" i="20"/>
  <c r="J150" i="20" s="1"/>
  <c r="I152" i="20"/>
  <c r="J152" i="20" s="1"/>
  <c r="J165" i="20"/>
  <c r="I166" i="20"/>
  <c r="J166" i="20" s="1"/>
  <c r="I167" i="20"/>
  <c r="J167" i="20" s="1"/>
  <c r="I173" i="20"/>
  <c r="J173" i="20" s="1"/>
  <c r="I176" i="20"/>
  <c r="J176" i="20" s="1"/>
  <c r="I178" i="20"/>
  <c r="J178" i="20" s="1"/>
  <c r="I185" i="20"/>
  <c r="J185" i="20" s="1"/>
  <c r="I191" i="20"/>
  <c r="J191" i="20" s="1"/>
  <c r="I195" i="20"/>
  <c r="J195" i="20" s="1"/>
  <c r="I17" i="20"/>
  <c r="J17" i="20" s="1"/>
  <c r="I179" i="20"/>
  <c r="J179" i="20" s="1"/>
  <c r="I45" i="20"/>
  <c r="J45" i="20" s="1"/>
  <c r="I51" i="20"/>
  <c r="J51" i="20" s="1"/>
  <c r="I61" i="20"/>
  <c r="J61" i="20" s="1"/>
  <c r="I81" i="20"/>
  <c r="J81" i="20" s="1"/>
  <c r="J127" i="20"/>
  <c r="I197" i="20"/>
  <c r="J197" i="20" s="1"/>
  <c r="I14" i="20"/>
  <c r="J14" i="20" s="1"/>
  <c r="I33" i="20"/>
  <c r="J33" i="20" s="1"/>
  <c r="I76" i="20"/>
  <c r="J76" i="20" s="1"/>
  <c r="I93" i="20"/>
  <c r="J93" i="20" s="1"/>
  <c r="I190" i="20"/>
  <c r="J190" i="20" s="1"/>
  <c r="I100" i="20"/>
  <c r="J100" i="20" s="1"/>
  <c r="I121" i="20"/>
  <c r="J121" i="20" s="1"/>
  <c r="I125" i="20"/>
  <c r="J125" i="20" s="1"/>
  <c r="I130" i="20"/>
  <c r="J130" i="20" s="1"/>
  <c r="I149" i="20"/>
  <c r="J149" i="20" s="1"/>
  <c r="I189" i="20"/>
  <c r="J189" i="20" s="1"/>
  <c r="I4" i="20"/>
  <c r="J4" i="20" s="1"/>
  <c r="I25" i="20"/>
  <c r="J25" i="20" s="1"/>
  <c r="I32" i="20"/>
  <c r="J32" i="20" s="1"/>
  <c r="I35" i="20"/>
  <c r="J35" i="20" s="1"/>
  <c r="I111" i="20"/>
  <c r="J111" i="20" s="1"/>
  <c r="I116" i="20"/>
  <c r="J116" i="20" s="1"/>
  <c r="J124" i="20"/>
  <c r="I135" i="20"/>
  <c r="J135" i="20" s="1"/>
  <c r="I148" i="20"/>
  <c r="J148" i="20" s="1"/>
  <c r="I158" i="20"/>
  <c r="J158" i="20" s="1"/>
  <c r="I19" i="20"/>
  <c r="J19" i="20" s="1"/>
  <c r="I36" i="20"/>
  <c r="J36" i="20" s="1"/>
  <c r="I54" i="20"/>
  <c r="J54" i="20" s="1"/>
  <c r="I70" i="20"/>
  <c r="J70" i="20" s="1"/>
  <c r="I8" i="20"/>
  <c r="J8" i="20" s="1"/>
  <c r="I74" i="20"/>
  <c r="J74" i="20" s="1"/>
  <c r="I139" i="20"/>
  <c r="J139" i="20" s="1"/>
  <c r="I144" i="20"/>
  <c r="J144" i="20" s="1"/>
  <c r="I5" i="20"/>
  <c r="J5" i="20" s="1"/>
  <c r="I11" i="20"/>
  <c r="J11" i="20" s="1"/>
  <c r="I31" i="20"/>
  <c r="J31" i="20" s="1"/>
  <c r="I66" i="20"/>
  <c r="J66" i="20" s="1"/>
  <c r="I119" i="20"/>
  <c r="J119" i="20" s="1"/>
  <c r="I146" i="20"/>
  <c r="J146" i="20" s="1"/>
  <c r="I163" i="20"/>
  <c r="J163" i="20" s="1"/>
  <c r="I187" i="20"/>
  <c r="J187" i="20" s="1"/>
  <c r="I63" i="20"/>
  <c r="J63" i="20" s="1"/>
  <c r="I67" i="20"/>
  <c r="J67" i="20" s="1"/>
  <c r="I68" i="20"/>
  <c r="J68" i="20" s="1"/>
  <c r="I82" i="20"/>
  <c r="J82" i="20" s="1"/>
  <c r="I90" i="20"/>
  <c r="J90" i="20" s="1"/>
  <c r="I128" i="20"/>
  <c r="J128" i="20" s="1"/>
  <c r="I168" i="20"/>
  <c r="J168" i="20" s="1"/>
  <c r="I177" i="20"/>
  <c r="J177" i="20" s="1"/>
  <c r="I192" i="20"/>
  <c r="J192" i="20" s="1"/>
  <c r="I196" i="20"/>
  <c r="J196" i="20" s="1"/>
  <c r="I40" i="20"/>
  <c r="J40" i="20" s="1"/>
  <c r="I88" i="20"/>
  <c r="J88" i="20" s="1"/>
  <c r="I48" i="20"/>
  <c r="J48" i="20" s="1"/>
  <c r="J55" i="20"/>
  <c r="J58" i="20"/>
  <c r="I108" i="20"/>
  <c r="J108" i="20" s="1"/>
  <c r="I112" i="20"/>
  <c r="J112" i="20" s="1"/>
  <c r="I172" i="20"/>
  <c r="J172" i="20" s="1"/>
  <c r="J6" i="20"/>
  <c r="K162" i="15" l="1"/>
  <c r="K163" i="15"/>
  <c r="K164" i="15"/>
  <c r="K165" i="15"/>
  <c r="I160" i="15"/>
  <c r="I161" i="15"/>
  <c r="I162" i="15"/>
  <c r="I163" i="15"/>
  <c r="I164" i="15"/>
  <c r="I165" i="15"/>
  <c r="AE6" i="21" l="1"/>
  <c r="AE4" i="21"/>
  <c r="AE5" i="21"/>
  <c r="AE7" i="21"/>
  <c r="AE3" i="21"/>
  <c r="AE8" i="21" l="1"/>
  <c r="E7" i="21"/>
  <c r="C7" i="21"/>
  <c r="AF7" i="21" s="1"/>
  <c r="E6" i="21"/>
  <c r="C6" i="21"/>
  <c r="E5" i="21"/>
  <c r="C5" i="21"/>
  <c r="AF5" i="21" s="1"/>
  <c r="E4" i="21"/>
  <c r="C4" i="21"/>
  <c r="AF4" i="21" s="1"/>
  <c r="E3" i="21"/>
  <c r="C3" i="21"/>
  <c r="AF3" i="21" s="1"/>
  <c r="AF6" i="21" l="1"/>
  <c r="U21" i="21"/>
  <c r="X21" i="21"/>
  <c r="G21" i="21"/>
  <c r="F21" i="21"/>
  <c r="L21" i="21"/>
  <c r="AC21" i="21"/>
  <c r="AA21" i="21"/>
  <c r="H21" i="21"/>
  <c r="P21" i="21"/>
  <c r="Y21" i="21"/>
  <c r="T21" i="21"/>
  <c r="V21" i="21"/>
  <c r="K21" i="21"/>
  <c r="Q21" i="21"/>
  <c r="R21" i="21"/>
  <c r="I21" i="21"/>
  <c r="AD21" i="21"/>
  <c r="M21" i="21"/>
  <c r="J21" i="21"/>
  <c r="S21" i="21"/>
  <c r="AB21" i="21"/>
  <c r="O21" i="21"/>
  <c r="Z21" i="21"/>
  <c r="W21" i="21"/>
  <c r="N21" i="21"/>
  <c r="AF8" i="21"/>
  <c r="E44" i="24" s="1"/>
  <c r="I33" i="15"/>
  <c r="AM9" i="14"/>
  <c r="K146" i="15"/>
  <c r="K147" i="15"/>
  <c r="K148" i="15"/>
  <c r="K149" i="15"/>
  <c r="K150" i="15"/>
  <c r="K151" i="15"/>
  <c r="K152" i="15"/>
  <c r="K153" i="15"/>
  <c r="K154" i="15"/>
  <c r="K155" i="15"/>
  <c r="K156" i="15"/>
  <c r="K157" i="15"/>
  <c r="K158" i="15"/>
  <c r="K159" i="15"/>
  <c r="K160" i="15"/>
  <c r="K161" i="15"/>
  <c r="I3" i="15"/>
  <c r="I4" i="15"/>
  <c r="I5" i="15"/>
  <c r="I6" i="15"/>
  <c r="I7" i="15"/>
  <c r="I8" i="15"/>
  <c r="I9" i="15"/>
  <c r="I10" i="15"/>
  <c r="I11" i="15"/>
  <c r="I12" i="15"/>
  <c r="I13" i="15"/>
  <c r="I14" i="15"/>
  <c r="I15" i="15"/>
  <c r="J15" i="15" s="1"/>
  <c r="I16" i="15"/>
  <c r="J16" i="15" s="1"/>
  <c r="I17" i="15"/>
  <c r="J17" i="15" s="1"/>
  <c r="I18" i="15"/>
  <c r="I19" i="15"/>
  <c r="I20" i="15"/>
  <c r="I21" i="15"/>
  <c r="I22" i="15"/>
  <c r="I23" i="15"/>
  <c r="I24" i="15"/>
  <c r="I25" i="15"/>
  <c r="I26" i="15"/>
  <c r="I27" i="15"/>
  <c r="I28" i="15"/>
  <c r="I29" i="15"/>
  <c r="I30" i="15"/>
  <c r="I31" i="15"/>
  <c r="I32"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J125" i="15" s="1"/>
  <c r="K125" i="15" s="1"/>
  <c r="I126" i="15"/>
  <c r="I127" i="15"/>
  <c r="I128" i="15"/>
  <c r="I129" i="15"/>
  <c r="I130" i="15"/>
  <c r="I131" i="15"/>
  <c r="I132" i="15"/>
  <c r="I133" i="15"/>
  <c r="I134" i="15"/>
  <c r="I135" i="15"/>
  <c r="I136" i="15"/>
  <c r="I137" i="15"/>
  <c r="I138" i="15"/>
  <c r="I139" i="15"/>
  <c r="I140" i="15"/>
  <c r="I141" i="15"/>
  <c r="I143" i="15"/>
  <c r="I144" i="15"/>
  <c r="I145" i="15"/>
  <c r="I146" i="15"/>
  <c r="I147" i="15"/>
  <c r="I148" i="15"/>
  <c r="I149" i="15"/>
  <c r="I150" i="15"/>
  <c r="I151" i="15"/>
  <c r="I152" i="15"/>
  <c r="I153" i="15"/>
  <c r="I154" i="15"/>
  <c r="I155" i="15"/>
  <c r="I156" i="15"/>
  <c r="I157" i="15"/>
  <c r="I158" i="15"/>
  <c r="I159" i="15"/>
  <c r="I2" i="15"/>
  <c r="F44" i="24" l="1"/>
  <c r="G44" i="24" s="1"/>
  <c r="J135" i="15"/>
  <c r="K135" i="15" s="1"/>
  <c r="J111" i="15"/>
  <c r="K111" i="15" s="1"/>
  <c r="J87" i="15"/>
  <c r="K87" i="15" s="1"/>
  <c r="J63" i="15"/>
  <c r="K63" i="15" s="1"/>
  <c r="J47" i="15"/>
  <c r="K47" i="15" s="1"/>
  <c r="J30" i="15"/>
  <c r="K30" i="15" s="1"/>
  <c r="J22" i="15"/>
  <c r="K22" i="15" s="1"/>
  <c r="J6" i="15"/>
  <c r="K6" i="15" s="1"/>
  <c r="J134" i="15"/>
  <c r="K134" i="15" s="1"/>
  <c r="J110" i="15"/>
  <c r="K110" i="15" s="1"/>
  <c r="J94" i="15"/>
  <c r="K94" i="15" s="1"/>
  <c r="J78" i="15"/>
  <c r="K78" i="15" s="1"/>
  <c r="J62" i="15"/>
  <c r="K62" i="15" s="1"/>
  <c r="J46" i="15"/>
  <c r="K46" i="15" s="1"/>
  <c r="J38" i="15"/>
  <c r="K38" i="15" s="1"/>
  <c r="J21" i="15"/>
  <c r="K21" i="15" s="1"/>
  <c r="J141" i="15"/>
  <c r="K141" i="15" s="1"/>
  <c r="J133" i="15"/>
  <c r="K133" i="15" s="1"/>
  <c r="J117" i="15"/>
  <c r="K117" i="15" s="1"/>
  <c r="J101" i="15"/>
  <c r="K101" i="15" s="1"/>
  <c r="J85" i="15"/>
  <c r="K85" i="15" s="1"/>
  <c r="J69" i="15"/>
  <c r="K69" i="15" s="1"/>
  <c r="J53" i="15"/>
  <c r="K53" i="15" s="1"/>
  <c r="J28" i="15"/>
  <c r="K28" i="15" s="1"/>
  <c r="J140" i="15"/>
  <c r="K140" i="15" s="1"/>
  <c r="J124" i="15"/>
  <c r="K124" i="15" s="1"/>
  <c r="J108" i="15"/>
  <c r="K108" i="15" s="1"/>
  <c r="J92" i="15"/>
  <c r="K92" i="15" s="1"/>
  <c r="J76" i="15"/>
  <c r="K76" i="15" s="1"/>
  <c r="J60" i="15"/>
  <c r="K60" i="15" s="1"/>
  <c r="J44" i="15"/>
  <c r="K44" i="15" s="1"/>
  <c r="J27" i="15"/>
  <c r="K27" i="15" s="1"/>
  <c r="J11" i="15"/>
  <c r="K11" i="15" s="1"/>
  <c r="J139" i="15"/>
  <c r="K139" i="15" s="1"/>
  <c r="J115" i="15"/>
  <c r="K115" i="15" s="1"/>
  <c r="J99" i="15"/>
  <c r="K99" i="15" s="1"/>
  <c r="J83" i="15"/>
  <c r="K83" i="15" s="1"/>
  <c r="J67" i="15"/>
  <c r="K67" i="15" s="1"/>
  <c r="J51" i="15"/>
  <c r="K51" i="15" s="1"/>
  <c r="J35" i="15"/>
  <c r="K35" i="15" s="1"/>
  <c r="J18" i="15"/>
  <c r="K18" i="15" s="1"/>
  <c r="J138" i="15"/>
  <c r="K138" i="15" s="1"/>
  <c r="J130" i="15"/>
  <c r="K130" i="15" s="1"/>
  <c r="J122" i="15"/>
  <c r="K122" i="15" s="1"/>
  <c r="J114" i="15"/>
  <c r="K114" i="15" s="1"/>
  <c r="J106" i="15"/>
  <c r="K106" i="15" s="1"/>
  <c r="J98" i="15"/>
  <c r="K98" i="15" s="1"/>
  <c r="J90" i="15"/>
  <c r="K90" i="15" s="1"/>
  <c r="J82" i="15"/>
  <c r="K82" i="15" s="1"/>
  <c r="J74" i="15"/>
  <c r="K74" i="15" s="1"/>
  <c r="J66" i="15"/>
  <c r="K66" i="15" s="1"/>
  <c r="J58" i="15"/>
  <c r="K58" i="15" s="1"/>
  <c r="J50" i="15"/>
  <c r="K50" i="15" s="1"/>
  <c r="J42" i="15"/>
  <c r="K42" i="15" s="1"/>
  <c r="J34" i="15"/>
  <c r="K34" i="15" s="1"/>
  <c r="J25" i="15"/>
  <c r="K25" i="15" s="1"/>
  <c r="J9" i="15"/>
  <c r="K9" i="15" s="1"/>
  <c r="J136" i="15"/>
  <c r="K136" i="15" s="1"/>
  <c r="J128" i="15"/>
  <c r="K128" i="15" s="1"/>
  <c r="J120" i="15"/>
  <c r="K120" i="15" s="1"/>
  <c r="J112" i="15"/>
  <c r="K112" i="15" s="1"/>
  <c r="J104" i="15"/>
  <c r="K104" i="15" s="1"/>
  <c r="J96" i="15"/>
  <c r="K96" i="15" s="1"/>
  <c r="J88" i="15"/>
  <c r="K88" i="15" s="1"/>
  <c r="J80" i="15"/>
  <c r="K80" i="15" s="1"/>
  <c r="J72" i="15"/>
  <c r="K72" i="15" s="1"/>
  <c r="J64" i="15"/>
  <c r="K64" i="15" s="1"/>
  <c r="J56" i="15"/>
  <c r="K56" i="15" s="1"/>
  <c r="J48" i="15"/>
  <c r="K48" i="15" s="1"/>
  <c r="J40" i="15"/>
  <c r="K40" i="15" s="1"/>
  <c r="J31" i="15"/>
  <c r="K31" i="15" s="1"/>
  <c r="J23" i="15"/>
  <c r="K23" i="15" s="1"/>
  <c r="J7" i="15"/>
  <c r="K7" i="15" s="1"/>
  <c r="J2" i="15"/>
  <c r="K2" i="15" s="1"/>
  <c r="J144" i="15"/>
  <c r="K144" i="15" s="1"/>
  <c r="J127" i="15"/>
  <c r="K127" i="15" s="1"/>
  <c r="J119" i="15"/>
  <c r="K119" i="15" s="1"/>
  <c r="J103" i="15"/>
  <c r="K103" i="15" s="1"/>
  <c r="J95" i="15"/>
  <c r="K95" i="15" s="1"/>
  <c r="J79" i="15"/>
  <c r="K79" i="15" s="1"/>
  <c r="J71" i="15"/>
  <c r="K71" i="15" s="1"/>
  <c r="J55" i="15"/>
  <c r="K55" i="15" s="1"/>
  <c r="J39" i="15"/>
  <c r="K39" i="15" s="1"/>
  <c r="J14" i="15"/>
  <c r="K14" i="15" s="1"/>
  <c r="J143" i="15"/>
  <c r="K143" i="15" s="1"/>
  <c r="J126" i="15"/>
  <c r="K126" i="15" s="1"/>
  <c r="J118" i="15"/>
  <c r="K118" i="15" s="1"/>
  <c r="J102" i="15"/>
  <c r="K102" i="15" s="1"/>
  <c r="J86" i="15"/>
  <c r="K86" i="15" s="1"/>
  <c r="J70" i="15"/>
  <c r="K70" i="15" s="1"/>
  <c r="J54" i="15"/>
  <c r="K54" i="15" s="1"/>
  <c r="J29" i="15"/>
  <c r="K29" i="15" s="1"/>
  <c r="J13" i="15"/>
  <c r="K13" i="15" s="1"/>
  <c r="J5" i="15"/>
  <c r="K5" i="15" s="1"/>
  <c r="J109" i="15"/>
  <c r="K109" i="15" s="1"/>
  <c r="J93" i="15"/>
  <c r="K93" i="15" s="1"/>
  <c r="J77" i="15"/>
  <c r="K77" i="15" s="1"/>
  <c r="J61" i="15"/>
  <c r="K61" i="15" s="1"/>
  <c r="J45" i="15"/>
  <c r="K45" i="15" s="1"/>
  <c r="J37" i="15"/>
  <c r="K37" i="15" s="1"/>
  <c r="J20" i="15"/>
  <c r="K20" i="15" s="1"/>
  <c r="J12" i="15"/>
  <c r="K12" i="15" s="1"/>
  <c r="J4" i="15"/>
  <c r="K4" i="15" s="1"/>
  <c r="J132" i="15"/>
  <c r="K132" i="15" s="1"/>
  <c r="J116" i="15"/>
  <c r="K116" i="15" s="1"/>
  <c r="J100" i="15"/>
  <c r="K100" i="15" s="1"/>
  <c r="J84" i="15"/>
  <c r="K84" i="15" s="1"/>
  <c r="J68" i="15"/>
  <c r="K68" i="15" s="1"/>
  <c r="J52" i="15"/>
  <c r="K52" i="15" s="1"/>
  <c r="J36" i="15"/>
  <c r="K36" i="15" s="1"/>
  <c r="J19" i="15"/>
  <c r="K19" i="15" s="1"/>
  <c r="J3" i="15"/>
  <c r="K3" i="15" s="1"/>
  <c r="J131" i="15"/>
  <c r="K131" i="15" s="1"/>
  <c r="J123" i="15"/>
  <c r="K123" i="15" s="1"/>
  <c r="J107" i="15"/>
  <c r="K107" i="15" s="1"/>
  <c r="J91" i="15"/>
  <c r="K91" i="15" s="1"/>
  <c r="J75" i="15"/>
  <c r="K75" i="15" s="1"/>
  <c r="J59" i="15"/>
  <c r="K59" i="15" s="1"/>
  <c r="J43" i="15"/>
  <c r="K43" i="15" s="1"/>
  <c r="J26" i="15"/>
  <c r="K26" i="15" s="1"/>
  <c r="J10" i="15"/>
  <c r="K10" i="15" s="1"/>
  <c r="J137" i="15"/>
  <c r="K137" i="15" s="1"/>
  <c r="J129" i="15"/>
  <c r="K129" i="15" s="1"/>
  <c r="J121" i="15"/>
  <c r="K121" i="15" s="1"/>
  <c r="J113" i="15"/>
  <c r="K113" i="15" s="1"/>
  <c r="J105" i="15"/>
  <c r="K105" i="15" s="1"/>
  <c r="J97" i="15"/>
  <c r="K97" i="15" s="1"/>
  <c r="J89" i="15"/>
  <c r="K89" i="15" s="1"/>
  <c r="J81" i="15"/>
  <c r="K81" i="15" s="1"/>
  <c r="J73" i="15"/>
  <c r="K73" i="15" s="1"/>
  <c r="J65" i="15"/>
  <c r="K65" i="15" s="1"/>
  <c r="J57" i="15"/>
  <c r="K57" i="15" s="1"/>
  <c r="J49" i="15"/>
  <c r="K49" i="15" s="1"/>
  <c r="J41" i="15"/>
  <c r="K41" i="15" s="1"/>
  <c r="J32" i="15"/>
  <c r="K32" i="15" s="1"/>
  <c r="J24" i="15"/>
  <c r="K24" i="15" s="1"/>
  <c r="J8" i="15"/>
  <c r="K8" i="15" s="1"/>
  <c r="J33" i="15"/>
  <c r="K33" i="15" s="1"/>
  <c r="K15" i="15"/>
  <c r="K17" i="15"/>
  <c r="K16" i="15"/>
  <c r="C11" i="18"/>
  <c r="C10" i="18"/>
  <c r="BZ9" i="18"/>
  <c r="BY9" i="18"/>
  <c r="BX9" i="18"/>
  <c r="BW9" i="18"/>
  <c r="BV9" i="18"/>
  <c r="BU9" i="18"/>
  <c r="BS9" i="18"/>
  <c r="BR9" i="18"/>
  <c r="BQ9" i="18"/>
  <c r="BP9" i="18"/>
  <c r="BO9" i="18"/>
  <c r="BN9" i="18"/>
  <c r="BM9" i="18"/>
  <c r="BL9" i="18"/>
  <c r="BJ9" i="18"/>
  <c r="BI9" i="18"/>
  <c r="BG9" i="18"/>
  <c r="BF9" i="18"/>
  <c r="BE9" i="18"/>
  <c r="BD9" i="18"/>
  <c r="BC9" i="18"/>
  <c r="BA9" i="18"/>
  <c r="AZ9" i="18"/>
  <c r="AX9" i="18"/>
  <c r="AW9" i="18"/>
  <c r="AU9" i="18"/>
  <c r="AT9" i="18"/>
  <c r="AR9" i="18"/>
  <c r="AQ9" i="18"/>
  <c r="AO9" i="18"/>
  <c r="AN9" i="18"/>
  <c r="AL9" i="18"/>
  <c r="AK9" i="18"/>
  <c r="AI9" i="18"/>
  <c r="AH9" i="18"/>
  <c r="AF9" i="18"/>
  <c r="AE9" i="18"/>
  <c r="AC9" i="18"/>
  <c r="AB9" i="18"/>
  <c r="Z9" i="18"/>
  <c r="Y9" i="18"/>
  <c r="X9" i="18"/>
  <c r="W9" i="18"/>
  <c r="V9" i="18"/>
  <c r="U9" i="18"/>
  <c r="T9" i="18"/>
  <c r="S9" i="18"/>
  <c r="R9" i="18"/>
  <c r="Q9" i="18"/>
  <c r="P9" i="18"/>
  <c r="N9" i="18"/>
  <c r="M9" i="18"/>
  <c r="K9" i="18"/>
  <c r="J9" i="18"/>
  <c r="H9" i="18"/>
  <c r="G9" i="18"/>
  <c r="E9" i="18"/>
  <c r="D9" i="18"/>
  <c r="C9" i="18"/>
  <c r="F7" i="18"/>
  <c r="L6" i="18"/>
  <c r="I6" i="18"/>
  <c r="F6" i="18"/>
  <c r="L5" i="18"/>
  <c r="I5" i="18"/>
  <c r="F5" i="18"/>
  <c r="BT4" i="18"/>
  <c r="BK4" i="18"/>
  <c r="BH4" i="18"/>
  <c r="BH9" i="18" s="1"/>
  <c r="AV4" i="18"/>
  <c r="AJ4" i="18"/>
  <c r="AG4" i="18"/>
  <c r="AD4" i="18"/>
  <c r="AA4" i="18"/>
  <c r="R4" i="18"/>
  <c r="L4" i="18"/>
  <c r="I4" i="18"/>
  <c r="F4" i="18"/>
  <c r="BT3" i="18"/>
  <c r="BK3" i="18"/>
  <c r="BB3" i="18"/>
  <c r="BB9" i="18" s="1"/>
  <c r="AY3" i="18"/>
  <c r="AY9" i="18" s="1"/>
  <c r="AV3" i="18"/>
  <c r="AV9" i="18" s="1"/>
  <c r="AS3" i="18"/>
  <c r="AS9" i="18" s="1"/>
  <c r="AP3" i="18"/>
  <c r="AP9" i="18" s="1"/>
  <c r="AM3" i="18"/>
  <c r="AM9" i="18" s="1"/>
  <c r="AJ3" i="18"/>
  <c r="AJ9" i="18" s="1"/>
  <c r="AG3" i="18"/>
  <c r="AG9" i="18" s="1"/>
  <c r="AD3" i="18"/>
  <c r="AD9" i="18" s="1"/>
  <c r="AA3" i="18"/>
  <c r="AA9" i="18" s="1"/>
  <c r="O3" i="18"/>
  <c r="O9" i="18" s="1"/>
  <c r="L3" i="18"/>
  <c r="I3" i="18"/>
  <c r="F3" i="18"/>
  <c r="I9" i="18" l="1"/>
  <c r="K331" i="15"/>
  <c r="AF9" i="21" s="1"/>
  <c r="H44" i="24"/>
  <c r="L9" i="18"/>
  <c r="F9" i="18"/>
  <c r="BK9" i="18"/>
  <c r="BT9" i="18"/>
  <c r="AN28" i="14"/>
  <c r="AL28" i="14"/>
  <c r="AM27" i="14"/>
  <c r="AK27" i="14"/>
  <c r="AO27" i="14" s="1"/>
  <c r="J27" i="14"/>
  <c r="AM26" i="14"/>
  <c r="AK26" i="14"/>
  <c r="AO26" i="14" s="1"/>
  <c r="J26" i="14"/>
  <c r="AM25" i="14"/>
  <c r="AK25" i="14"/>
  <c r="AO25" i="14" s="1"/>
  <c r="J25" i="14"/>
  <c r="AM24" i="14"/>
  <c r="AK24" i="14"/>
  <c r="AO24" i="14" s="1"/>
  <c r="J24" i="14"/>
  <c r="AM23" i="14"/>
  <c r="AK23" i="14"/>
  <c r="AO23" i="14" s="1"/>
  <c r="J23" i="14"/>
  <c r="AM22" i="14"/>
  <c r="AK22" i="14"/>
  <c r="AO22" i="14" s="1"/>
  <c r="J22" i="14"/>
  <c r="AM21" i="14"/>
  <c r="AK21" i="14"/>
  <c r="AO21" i="14" s="1"/>
  <c r="J21" i="14"/>
  <c r="AM20" i="14"/>
  <c r="AK20" i="14"/>
  <c r="AO20" i="14" s="1"/>
  <c r="J20" i="14"/>
  <c r="AM19" i="14"/>
  <c r="AK19" i="14"/>
  <c r="AO19" i="14" s="1"/>
  <c r="J19" i="14"/>
  <c r="AM18" i="14"/>
  <c r="AK18" i="14"/>
  <c r="AO18" i="14" s="1"/>
  <c r="J18" i="14"/>
  <c r="AM17" i="14"/>
  <c r="AK17" i="14"/>
  <c r="AO17" i="14" s="1"/>
  <c r="J17" i="14"/>
  <c r="AM16" i="14"/>
  <c r="AK16" i="14"/>
  <c r="AO16" i="14" s="1"/>
  <c r="J16" i="14"/>
  <c r="AM15" i="14"/>
  <c r="AK15" i="14"/>
  <c r="AO15" i="14" s="1"/>
  <c r="J15" i="14"/>
  <c r="AM14" i="14"/>
  <c r="AK14" i="14"/>
  <c r="AO14" i="14" s="1"/>
  <c r="J14" i="14"/>
  <c r="AM13" i="14"/>
  <c r="AK13" i="14"/>
  <c r="AO13" i="14" s="1"/>
  <c r="J13" i="14"/>
  <c r="AM12" i="14"/>
  <c r="AK12" i="14"/>
  <c r="AO12" i="14" s="1"/>
  <c r="J12" i="14"/>
  <c r="AM11" i="14"/>
  <c r="AK11" i="14"/>
  <c r="AO11" i="14" s="1"/>
  <c r="J11" i="14"/>
  <c r="AM10" i="14"/>
  <c r="AK10" i="14"/>
  <c r="AO10" i="14" s="1"/>
  <c r="J10" i="14"/>
  <c r="AK9" i="14"/>
  <c r="AO9" i="14" s="1"/>
  <c r="J9" i="14"/>
  <c r="AM8" i="14"/>
  <c r="AK8" i="14"/>
  <c r="AO8" i="14" s="1"/>
  <c r="J8" i="14"/>
  <c r="AM7" i="14"/>
  <c r="AK7" i="14"/>
  <c r="AO7" i="14" s="1"/>
  <c r="J7" i="14"/>
  <c r="AM6" i="14"/>
  <c r="AK6" i="14"/>
  <c r="AO6" i="14" s="1"/>
  <c r="J6" i="14"/>
  <c r="AM5" i="14"/>
  <c r="AK5" i="14"/>
  <c r="AO5" i="14" s="1"/>
  <c r="J5" i="14"/>
  <c r="AM28" i="14" l="1"/>
  <c r="AF11" i="21" l="1"/>
  <c r="E43" i="24"/>
  <c r="F43" i="24" l="1"/>
  <c r="E45" i="24"/>
  <c r="AF12" i="21"/>
  <c r="AF13" i="21" s="1"/>
  <c r="AF14" i="21" l="1"/>
  <c r="G43" i="24"/>
  <c r="H43" i="24" s="1"/>
  <c r="F45" i="24"/>
  <c r="G45" i="24" s="1"/>
  <c r="H45" i="24" l="1"/>
</calcChain>
</file>

<file path=xl/comments1.xml><?xml version="1.0" encoding="utf-8"?>
<comments xmlns="http://schemas.openxmlformats.org/spreadsheetml/2006/main">
  <authors>
    <author>Danna Salomé Martínez Ramírez</author>
    <author>Danna</author>
  </authors>
  <commentList>
    <comment ref="L1" authorId="0" shapeId="0">
      <text>
        <r>
          <rPr>
            <b/>
            <sz val="9"/>
            <color indexed="81"/>
            <rFont val="Tahoma"/>
            <family val="2"/>
          </rPr>
          <t>Danna Salomé Martínez Ramírez:</t>
        </r>
        <r>
          <rPr>
            <sz val="9"/>
            <color indexed="81"/>
            <rFont val="Tahoma"/>
            <family val="2"/>
          </rPr>
          <t xml:space="preserve">
la remisiion que envia nayibe no esta firmada</t>
        </r>
      </text>
    </comment>
    <comment ref="M1" authorId="0" shapeId="0">
      <text>
        <r>
          <rPr>
            <b/>
            <sz val="9"/>
            <color indexed="81"/>
            <rFont val="Tahoma"/>
            <family val="2"/>
          </rPr>
          <t>Danna Salomé Martínez Ramírez:</t>
        </r>
        <r>
          <rPr>
            <sz val="9"/>
            <color indexed="81"/>
            <rFont val="Tahoma"/>
            <family val="2"/>
          </rPr>
          <t xml:space="preserve">
remision enviada por Nayibe no esta firmada
</t>
        </r>
      </text>
    </comment>
    <comment ref="O1" authorId="0" shapeId="0">
      <text>
        <r>
          <rPr>
            <b/>
            <sz val="9"/>
            <color indexed="81"/>
            <rFont val="Tahoma"/>
            <family val="2"/>
          </rPr>
          <t>Danna Salomé Martínez Ramírez:</t>
        </r>
        <r>
          <rPr>
            <sz val="9"/>
            <color indexed="81"/>
            <rFont val="Tahoma"/>
            <family val="2"/>
          </rPr>
          <t xml:space="preserve">
la remision que envia nayibe no esta firmada</t>
        </r>
      </text>
    </comment>
    <comment ref="P1" authorId="0" shapeId="0">
      <text>
        <r>
          <rPr>
            <b/>
            <sz val="9"/>
            <color indexed="81"/>
            <rFont val="Tahoma"/>
            <family val="2"/>
          </rPr>
          <t>Danna Salomé Martínez Ramírez:</t>
        </r>
        <r>
          <rPr>
            <sz val="9"/>
            <color indexed="81"/>
            <rFont val="Tahoma"/>
            <family val="2"/>
          </rPr>
          <t xml:space="preserve">
la remision del 11/04/2024 que envia nayibe no esta firmada
</t>
        </r>
      </text>
    </comment>
    <comment ref="AG1" authorId="1" shapeId="0">
      <text>
        <r>
          <rPr>
            <b/>
            <sz val="9"/>
            <color indexed="81"/>
            <rFont val="Tahoma"/>
            <family val="2"/>
          </rPr>
          <t>Danna:</t>
        </r>
        <r>
          <rPr>
            <sz val="9"/>
            <color indexed="81"/>
            <rFont val="Tahoma"/>
            <family val="2"/>
          </rPr>
          <t xml:space="preserve">
esta remision no esta firmada. Ni dice fecha. Solo dice que entregaron 3 botellones vacios de agua y al parecer firma alguien de la empresa de aseo
</t>
        </r>
      </text>
    </comment>
    <comment ref="L126" authorId="1" shapeId="0">
      <text>
        <r>
          <rPr>
            <b/>
            <sz val="9"/>
            <color indexed="81"/>
            <rFont val="Tahoma"/>
            <family val="2"/>
          </rPr>
          <t>Danna:</t>
        </r>
        <r>
          <rPr>
            <sz val="9"/>
            <color indexed="81"/>
            <rFont val="Tahoma"/>
            <family val="2"/>
          </rPr>
          <t xml:space="preserve">
esto no esta en la cotizacion de la orden de compra</t>
        </r>
      </text>
    </comment>
    <comment ref="L128" authorId="1" shapeId="0">
      <text>
        <r>
          <rPr>
            <b/>
            <sz val="9"/>
            <color indexed="81"/>
            <rFont val="Tahoma"/>
            <family val="2"/>
          </rPr>
          <t>Danna:</t>
        </r>
        <r>
          <rPr>
            <sz val="9"/>
            <color indexed="81"/>
            <rFont val="Tahoma"/>
            <family val="2"/>
          </rPr>
          <t xml:space="preserve">
esto no esta en la cotizacion de la orden de compra</t>
        </r>
      </text>
    </comment>
    <comment ref="L132" authorId="1" shapeId="0">
      <text>
        <r>
          <rPr>
            <b/>
            <sz val="9"/>
            <color indexed="81"/>
            <rFont val="Tahoma"/>
            <family val="2"/>
          </rPr>
          <t>Danna:</t>
        </r>
        <r>
          <rPr>
            <sz val="9"/>
            <color indexed="81"/>
            <rFont val="Tahoma"/>
            <family val="2"/>
          </rPr>
          <t xml:space="preserve">
estos no estan en la cotizacion de la orden de compra
</t>
        </r>
      </text>
    </comment>
    <comment ref="O132" authorId="1" shapeId="0">
      <text>
        <r>
          <rPr>
            <b/>
            <sz val="9"/>
            <color indexed="81"/>
            <rFont val="Tahoma"/>
            <family val="2"/>
          </rPr>
          <t>Danna:</t>
        </r>
        <r>
          <rPr>
            <sz val="9"/>
            <color indexed="81"/>
            <rFont val="Tahoma"/>
            <family val="2"/>
          </rPr>
          <t xml:space="preserve">
estos no estan en la cotizacion de la orden de compra
</t>
        </r>
      </text>
    </comment>
    <comment ref="S132" authorId="1" shapeId="0">
      <text>
        <r>
          <rPr>
            <b/>
            <sz val="9"/>
            <color indexed="81"/>
            <rFont val="Tahoma"/>
            <family val="2"/>
          </rPr>
          <t>Danna:</t>
        </r>
        <r>
          <rPr>
            <sz val="9"/>
            <color indexed="81"/>
            <rFont val="Tahoma"/>
            <family val="2"/>
          </rPr>
          <t xml:space="preserve">
esto no estaba en la cotizacion</t>
        </r>
      </text>
    </comment>
    <comment ref="AH132" authorId="1" shapeId="0">
      <text>
        <r>
          <rPr>
            <b/>
            <sz val="9"/>
            <color indexed="81"/>
            <rFont val="Tahoma"/>
            <family val="2"/>
          </rPr>
          <t>Danna:</t>
        </r>
        <r>
          <rPr>
            <sz val="9"/>
            <color indexed="81"/>
            <rFont val="Tahoma"/>
            <family val="2"/>
          </rPr>
          <t xml:space="preserve">
esto no estaba en la cotizacion</t>
        </r>
      </text>
    </comment>
    <comment ref="L133" authorId="1" shapeId="0">
      <text>
        <r>
          <rPr>
            <b/>
            <sz val="9"/>
            <color indexed="81"/>
            <rFont val="Tahoma"/>
            <family val="2"/>
          </rPr>
          <t>Danna:</t>
        </r>
        <r>
          <rPr>
            <sz val="9"/>
            <color indexed="81"/>
            <rFont val="Tahoma"/>
            <family val="2"/>
          </rPr>
          <t xml:space="preserve">
estos no estan en la cotizacion de la orden de compra
</t>
        </r>
      </text>
    </comment>
    <comment ref="O133" authorId="1" shapeId="0">
      <text>
        <r>
          <rPr>
            <b/>
            <sz val="9"/>
            <color indexed="81"/>
            <rFont val="Tahoma"/>
            <family val="2"/>
          </rPr>
          <t>Danna:</t>
        </r>
        <r>
          <rPr>
            <sz val="9"/>
            <color indexed="81"/>
            <rFont val="Tahoma"/>
            <family val="2"/>
          </rPr>
          <t xml:space="preserve">
estos no estan en la cotizacion de la orden de compra
</t>
        </r>
      </text>
    </comment>
    <comment ref="S133" authorId="1" shapeId="0">
      <text>
        <r>
          <rPr>
            <b/>
            <sz val="9"/>
            <color indexed="81"/>
            <rFont val="Tahoma"/>
            <family val="2"/>
          </rPr>
          <t>Danna:</t>
        </r>
        <r>
          <rPr>
            <sz val="9"/>
            <color indexed="81"/>
            <rFont val="Tahoma"/>
            <family val="2"/>
          </rPr>
          <t xml:space="preserve">
esto no estaba en la cotizacion</t>
        </r>
      </text>
    </comment>
    <comment ref="AH133" authorId="1" shapeId="0">
      <text>
        <r>
          <rPr>
            <b/>
            <sz val="9"/>
            <color indexed="81"/>
            <rFont val="Tahoma"/>
            <family val="2"/>
          </rPr>
          <t>Danna:</t>
        </r>
        <r>
          <rPr>
            <sz val="9"/>
            <color indexed="81"/>
            <rFont val="Tahoma"/>
            <family val="2"/>
          </rPr>
          <t xml:space="preserve">
esto no estaba en la cotizacion</t>
        </r>
      </text>
    </comment>
    <comment ref="L135" authorId="1" shapeId="0">
      <text>
        <r>
          <rPr>
            <b/>
            <sz val="9"/>
            <color indexed="81"/>
            <rFont val="Tahoma"/>
            <family val="2"/>
          </rPr>
          <t>Danna:</t>
        </r>
        <r>
          <rPr>
            <sz val="9"/>
            <color indexed="81"/>
            <rFont val="Tahoma"/>
            <family val="2"/>
          </rPr>
          <t xml:space="preserve">
estos no estan en la cotizacion de la orden de compra
</t>
        </r>
      </text>
    </comment>
    <comment ref="O135" authorId="1" shapeId="0">
      <text>
        <r>
          <rPr>
            <b/>
            <sz val="9"/>
            <color indexed="81"/>
            <rFont val="Tahoma"/>
            <family val="2"/>
          </rPr>
          <t>Danna:</t>
        </r>
        <r>
          <rPr>
            <sz val="9"/>
            <color indexed="81"/>
            <rFont val="Tahoma"/>
            <family val="2"/>
          </rPr>
          <t xml:space="preserve">
estos no estan en la cotizacion de la orden de compra
</t>
        </r>
      </text>
    </comment>
    <comment ref="S135" authorId="1" shapeId="0">
      <text>
        <r>
          <rPr>
            <b/>
            <sz val="9"/>
            <color indexed="81"/>
            <rFont val="Tahoma"/>
            <family val="2"/>
          </rPr>
          <t>Danna:</t>
        </r>
        <r>
          <rPr>
            <sz val="9"/>
            <color indexed="81"/>
            <rFont val="Tahoma"/>
            <family val="2"/>
          </rPr>
          <t xml:space="preserve">
esto no estaba en la cotizacion</t>
        </r>
      </text>
    </comment>
    <comment ref="AH135" authorId="1" shapeId="0">
      <text>
        <r>
          <rPr>
            <b/>
            <sz val="9"/>
            <color indexed="81"/>
            <rFont val="Tahoma"/>
            <family val="2"/>
          </rPr>
          <t>Danna:</t>
        </r>
        <r>
          <rPr>
            <sz val="9"/>
            <color indexed="81"/>
            <rFont val="Tahoma"/>
            <family val="2"/>
          </rPr>
          <t xml:space="preserve">
esto no estaba en la cotizacion</t>
        </r>
      </text>
    </comment>
    <comment ref="U160" authorId="1" shapeId="0">
      <text>
        <r>
          <rPr>
            <b/>
            <sz val="9"/>
            <color indexed="81"/>
            <rFont val="Tahoma"/>
            <family val="2"/>
          </rPr>
          <t>Danna:</t>
        </r>
        <r>
          <rPr>
            <sz val="9"/>
            <color indexed="81"/>
            <rFont val="Tahoma"/>
            <family val="2"/>
          </rPr>
          <t xml:space="preserve">
llegaron de 40 unidades y no de 50</t>
        </r>
      </text>
    </comment>
  </commentList>
</comments>
</file>

<file path=xl/comments2.xml><?xml version="1.0" encoding="utf-8"?>
<comments xmlns="http://schemas.openxmlformats.org/spreadsheetml/2006/main">
  <authors>
    <author>Danna Salomé Martínez Ramírez</author>
  </authors>
  <commentList>
    <comment ref="F12" authorId="0" shapeId="0">
      <text>
        <r>
          <rPr>
            <b/>
            <sz val="9"/>
            <color indexed="81"/>
            <rFont val="Tahoma"/>
            <family val="2"/>
          </rPr>
          <t>Danna Salomé Martínez Ramírez:</t>
        </r>
        <r>
          <rPr>
            <sz val="9"/>
            <color indexed="81"/>
            <rFont val="Tahoma"/>
            <family val="2"/>
          </rPr>
          <t xml:space="preserve">
OJO QUE TIENE 2 DIAS EN IGE (QUE ES INCAPACIDAD GENERAL) Y 28 NORMAL</t>
        </r>
      </text>
    </comment>
    <comment ref="F13" authorId="0" shapeId="0">
      <text>
        <r>
          <rPr>
            <b/>
            <sz val="9"/>
            <color indexed="81"/>
            <rFont val="Tahoma"/>
            <family val="2"/>
          </rPr>
          <t>Danna Salomé Martínez Ramírez:</t>
        </r>
        <r>
          <rPr>
            <sz val="9"/>
            <color indexed="81"/>
            <rFont val="Tahoma"/>
            <family val="2"/>
          </rPr>
          <t xml:space="preserve">
INGRESO</t>
        </r>
      </text>
    </comment>
    <comment ref="F37" authorId="0" shapeId="0">
      <text>
        <r>
          <rPr>
            <b/>
            <sz val="9"/>
            <color indexed="81"/>
            <rFont val="Tahoma"/>
            <family val="2"/>
          </rPr>
          <t>Danna Salomé Martínez Ramírez:</t>
        </r>
        <r>
          <rPr>
            <sz val="9"/>
            <color indexed="81"/>
            <rFont val="Tahoma"/>
            <family val="2"/>
          </rPr>
          <t xml:space="preserve">
TIENE 2 DIAS EN IGE + 3 DIAS EN IGE + 25 NORMAL</t>
        </r>
      </text>
    </comment>
    <comment ref="F46" authorId="0" shapeId="0">
      <text>
        <r>
          <rPr>
            <b/>
            <sz val="9"/>
            <color indexed="81"/>
            <rFont val="Tahoma"/>
            <family val="2"/>
          </rPr>
          <t>Danna Salomé Martínez Ramírez:</t>
        </r>
        <r>
          <rPr>
            <sz val="9"/>
            <color indexed="81"/>
            <rFont val="Tahoma"/>
            <family val="2"/>
          </rPr>
          <t xml:space="preserve">
TIENE 5 DIAS EN VAC (L) Y 25 NORMALES</t>
        </r>
      </text>
    </comment>
    <comment ref="F47" authorId="0" shapeId="0">
      <text>
        <r>
          <rPr>
            <b/>
            <sz val="9"/>
            <color indexed="81"/>
            <rFont val="Tahoma"/>
            <family val="2"/>
          </rPr>
          <t>Danna Salomé Martínez Ramírez:</t>
        </r>
        <r>
          <rPr>
            <sz val="9"/>
            <color indexed="81"/>
            <rFont val="Tahoma"/>
            <family val="2"/>
          </rPr>
          <t xml:space="preserve">
INGRESO</t>
        </r>
      </text>
    </comment>
    <comment ref="F55" authorId="0" shapeId="0">
      <text>
        <r>
          <rPr>
            <b/>
            <sz val="9"/>
            <color indexed="81"/>
            <rFont val="Tahoma"/>
            <family val="2"/>
          </rPr>
          <t>Danna Salomé Martínez Ramírez:</t>
        </r>
        <r>
          <rPr>
            <sz val="9"/>
            <color indexed="81"/>
            <rFont val="Tahoma"/>
            <family val="2"/>
          </rPr>
          <t xml:space="preserve">
según la empresa ingreso el 18 de marzo y se retiro el 01 de abril de 2024</t>
        </r>
      </text>
    </comment>
    <comment ref="F57" authorId="0" shapeId="0">
      <text>
        <r>
          <rPr>
            <b/>
            <sz val="9"/>
            <color indexed="81"/>
            <rFont val="Tahoma"/>
            <family val="2"/>
          </rPr>
          <t>Danna Salomé Martínez Ramírez:</t>
        </r>
        <r>
          <rPr>
            <sz val="9"/>
            <color indexed="81"/>
            <rFont val="Tahoma"/>
            <family val="2"/>
          </rPr>
          <t xml:space="preserve">
INGRESO</t>
        </r>
      </text>
    </comment>
    <comment ref="F58" authorId="0" shapeId="0">
      <text>
        <r>
          <rPr>
            <b/>
            <sz val="9"/>
            <color indexed="81"/>
            <rFont val="Tahoma"/>
            <family val="2"/>
          </rPr>
          <t>Danna Salomé Martínez Ramírez:</t>
        </r>
        <r>
          <rPr>
            <sz val="9"/>
            <color indexed="81"/>
            <rFont val="Tahoma"/>
            <family val="2"/>
          </rPr>
          <t xml:space="preserve">
según la empresa ingreso el 18 de marzo y se retiro el 02 de abril de 2024</t>
        </r>
      </text>
    </comment>
    <comment ref="F60" authorId="0" shapeId="0">
      <text>
        <r>
          <rPr>
            <b/>
            <sz val="9"/>
            <color indexed="81"/>
            <rFont val="Tahoma"/>
            <family val="2"/>
          </rPr>
          <t>Danna Salomé Martínez Ramírez:</t>
        </r>
        <r>
          <rPr>
            <sz val="9"/>
            <color indexed="81"/>
            <rFont val="Tahoma"/>
            <family val="2"/>
          </rPr>
          <t xml:space="preserve">
ING Y RET. SOLO 1 DIA</t>
        </r>
      </text>
    </comment>
    <comment ref="F62" authorId="0" shapeId="0">
      <text>
        <r>
          <rPr>
            <b/>
            <sz val="9"/>
            <color indexed="81"/>
            <rFont val="Tahoma"/>
            <family val="2"/>
          </rPr>
          <t>Danna Salomé Martínez Ramírez:</t>
        </r>
        <r>
          <rPr>
            <sz val="9"/>
            <color indexed="81"/>
            <rFont val="Tahoma"/>
            <family val="2"/>
          </rPr>
          <t xml:space="preserve">
INGRESO
</t>
        </r>
      </text>
    </comment>
    <comment ref="F67" authorId="0" shapeId="0">
      <text>
        <r>
          <rPr>
            <b/>
            <sz val="9"/>
            <color indexed="81"/>
            <rFont val="Tahoma"/>
            <family val="2"/>
          </rPr>
          <t>Danna Salomé Martínez Ramírez:</t>
        </r>
        <r>
          <rPr>
            <sz val="9"/>
            <color indexed="81"/>
            <rFont val="Tahoma"/>
            <family val="2"/>
          </rPr>
          <t xml:space="preserve">
TUVE 1 DIA EN IGE + 2 DIAS EN IGE + 3 DIAS EN IGE +24 DIAS NORMALES</t>
        </r>
      </text>
    </comment>
    <comment ref="F69" authorId="0" shapeId="0">
      <text>
        <r>
          <rPr>
            <b/>
            <sz val="9"/>
            <color indexed="81"/>
            <rFont val="Tahoma"/>
            <family val="2"/>
          </rPr>
          <t>Danna Salomé Martínez Ramírez:</t>
        </r>
        <r>
          <rPr>
            <sz val="9"/>
            <color indexed="81"/>
            <rFont val="Tahoma"/>
            <family val="2"/>
          </rPr>
          <t xml:space="preserve">
INGRESO</t>
        </r>
      </text>
    </comment>
    <comment ref="F83" authorId="0" shapeId="0">
      <text>
        <r>
          <rPr>
            <b/>
            <sz val="9"/>
            <color indexed="81"/>
            <rFont val="Tahoma"/>
            <family val="2"/>
          </rPr>
          <t>Danna Salomé Martínez Ramírez:</t>
        </r>
        <r>
          <rPr>
            <sz val="9"/>
            <color indexed="81"/>
            <rFont val="Tahoma"/>
            <family val="2"/>
          </rPr>
          <t xml:space="preserve">
ingreso</t>
        </r>
      </text>
    </comment>
    <comment ref="F85" authorId="0" shapeId="0">
      <text>
        <r>
          <rPr>
            <b/>
            <sz val="9"/>
            <color indexed="81"/>
            <rFont val="Tahoma"/>
            <family val="2"/>
          </rPr>
          <t>Danna Salomé Martínez Ramírez:</t>
        </r>
        <r>
          <rPr>
            <sz val="9"/>
            <color indexed="81"/>
            <rFont val="Tahoma"/>
            <family val="2"/>
          </rPr>
          <t xml:space="preserve">
tiene 2 dias IGE y 9 dias en RET. Es decir que debio trabajar hasta el 11/04/2024</t>
        </r>
      </text>
    </comment>
    <comment ref="F88" authorId="0" shapeId="0">
      <text>
        <r>
          <rPr>
            <b/>
            <sz val="9"/>
            <color indexed="81"/>
            <rFont val="Tahoma"/>
            <family val="2"/>
          </rPr>
          <t>Danna Salomé Martínez Ramírez:</t>
        </r>
        <r>
          <rPr>
            <sz val="9"/>
            <color indexed="81"/>
            <rFont val="Tahoma"/>
            <family val="2"/>
          </rPr>
          <t xml:space="preserve">
tiene 1 por IRL + 9 por IRL y 20 dias normales</t>
        </r>
      </text>
    </comment>
    <comment ref="F92" authorId="0" shapeId="0">
      <text>
        <r>
          <rPr>
            <b/>
            <sz val="9"/>
            <color indexed="81"/>
            <rFont val="Tahoma"/>
            <family val="2"/>
          </rPr>
          <t>Danna Salomé Martínez Ramírez:</t>
        </r>
        <r>
          <rPr>
            <sz val="9"/>
            <color indexed="81"/>
            <rFont val="Tahoma"/>
            <family val="2"/>
          </rPr>
          <t xml:space="preserve">
ingreso</t>
        </r>
      </text>
    </comment>
    <comment ref="F105" authorId="0" shapeId="0">
      <text>
        <r>
          <rPr>
            <b/>
            <sz val="9"/>
            <color indexed="81"/>
            <rFont val="Tahoma"/>
            <family val="2"/>
          </rPr>
          <t>Danna Salomé Martínez Ramírez:</t>
        </r>
        <r>
          <rPr>
            <sz val="9"/>
            <color indexed="81"/>
            <rFont val="Tahoma"/>
            <family val="2"/>
          </rPr>
          <t xml:space="preserve">
ingreso</t>
        </r>
      </text>
    </comment>
    <comment ref="F110" authorId="0" shapeId="0">
      <text>
        <r>
          <rPr>
            <b/>
            <sz val="9"/>
            <color indexed="81"/>
            <rFont val="Tahoma"/>
            <family val="2"/>
          </rPr>
          <t>Danna Salomé Martínez Ramírez:</t>
        </r>
        <r>
          <rPr>
            <sz val="9"/>
            <color indexed="81"/>
            <rFont val="Tahoma"/>
            <family val="2"/>
          </rPr>
          <t xml:space="preserve">
ingreso</t>
        </r>
      </text>
    </comment>
    <comment ref="F113" authorId="0" shapeId="0">
      <text>
        <r>
          <rPr>
            <b/>
            <sz val="9"/>
            <color indexed="81"/>
            <rFont val="Tahoma"/>
            <family val="2"/>
          </rPr>
          <t>Danna Salomé Martínez Ramírez:</t>
        </r>
        <r>
          <rPr>
            <sz val="9"/>
            <color indexed="81"/>
            <rFont val="Tahoma"/>
            <family val="2"/>
          </rPr>
          <t xml:space="preserve">
ingreso
</t>
        </r>
      </text>
    </comment>
    <comment ref="F115" authorId="0" shapeId="0">
      <text>
        <r>
          <rPr>
            <b/>
            <sz val="9"/>
            <color indexed="81"/>
            <rFont val="Tahoma"/>
            <family val="2"/>
          </rPr>
          <t>Danna Salomé Martínez Ramírez:</t>
        </r>
        <r>
          <rPr>
            <sz val="9"/>
            <color indexed="81"/>
            <rFont val="Tahoma"/>
            <family val="2"/>
          </rPr>
          <t xml:space="preserve">
ingreso
</t>
        </r>
      </text>
    </comment>
    <comment ref="F118" authorId="0" shapeId="0">
      <text>
        <r>
          <rPr>
            <b/>
            <sz val="9"/>
            <color indexed="81"/>
            <rFont val="Tahoma"/>
            <family val="2"/>
          </rPr>
          <t>Danna Salomé Martínez Ramírez:</t>
        </r>
        <r>
          <rPr>
            <sz val="9"/>
            <color indexed="81"/>
            <rFont val="Tahoma"/>
            <family val="2"/>
          </rPr>
          <t xml:space="preserve">
tiene 3 dias ingreso y retiro ( INGRESO EL 13 Y SALIO EL 15 DE ABRIL)
</t>
        </r>
      </text>
    </comment>
    <comment ref="F123" authorId="0" shapeId="0">
      <text>
        <r>
          <rPr>
            <b/>
            <sz val="9"/>
            <color indexed="81"/>
            <rFont val="Tahoma"/>
            <family val="2"/>
          </rPr>
          <t>Danna Salomé Martínez Ramírez:</t>
        </r>
        <r>
          <rPr>
            <sz val="9"/>
            <color indexed="81"/>
            <rFont val="Tahoma"/>
            <family val="2"/>
          </rPr>
          <t xml:space="preserve">
ingreso</t>
        </r>
      </text>
    </comment>
    <comment ref="F124" authorId="0" shapeId="0">
      <text>
        <r>
          <rPr>
            <b/>
            <sz val="9"/>
            <color indexed="81"/>
            <rFont val="Tahoma"/>
            <family val="2"/>
          </rPr>
          <t>Danna Salomé Martínez Ramírez:</t>
        </r>
        <r>
          <rPr>
            <sz val="9"/>
            <color indexed="81"/>
            <rFont val="Tahoma"/>
            <family val="2"/>
          </rPr>
          <t xml:space="preserve">
tiene 1 dia en SLN y 29 dias normales</t>
        </r>
      </text>
    </comment>
    <comment ref="F129" authorId="0" shapeId="0">
      <text>
        <r>
          <rPr>
            <b/>
            <sz val="9"/>
            <color indexed="81"/>
            <rFont val="Tahoma"/>
            <family val="2"/>
          </rPr>
          <t>Danna Salomé Martínez Ramírez:</t>
        </r>
        <r>
          <rPr>
            <sz val="9"/>
            <color indexed="81"/>
            <rFont val="Tahoma"/>
            <family val="2"/>
          </rPr>
          <t xml:space="preserve">
tiene 2 dias en SLN y 28 dias normales</t>
        </r>
      </text>
    </comment>
    <comment ref="F132" authorId="0" shapeId="0">
      <text>
        <r>
          <rPr>
            <b/>
            <sz val="9"/>
            <color indexed="81"/>
            <rFont val="Tahoma"/>
            <family val="2"/>
          </rPr>
          <t>Danna Salomé Martínez Ramírez:</t>
        </r>
        <r>
          <rPr>
            <sz val="9"/>
            <color indexed="81"/>
            <rFont val="Tahoma"/>
            <family val="2"/>
          </rPr>
          <t xml:space="preserve">
ingreso
</t>
        </r>
      </text>
    </comment>
    <comment ref="F135" authorId="0" shapeId="0">
      <text>
        <r>
          <rPr>
            <b/>
            <sz val="9"/>
            <color indexed="81"/>
            <rFont val="Tahoma"/>
            <family val="2"/>
          </rPr>
          <t>Danna Salomé Martínez Ramírez:</t>
        </r>
        <r>
          <rPr>
            <sz val="9"/>
            <color indexed="81"/>
            <rFont val="Tahoma"/>
            <family val="2"/>
          </rPr>
          <t xml:space="preserve">
tiene 2 dias en SLN + 3 dias en VAC (L) + 25 dias normales</t>
        </r>
      </text>
    </comment>
    <comment ref="F136" authorId="0" shapeId="0">
      <text>
        <r>
          <rPr>
            <b/>
            <sz val="9"/>
            <color indexed="81"/>
            <rFont val="Tahoma"/>
            <family val="2"/>
          </rPr>
          <t>Danna Salomé Martínez Ramírez:</t>
        </r>
        <r>
          <rPr>
            <sz val="9"/>
            <color indexed="81"/>
            <rFont val="Tahoma"/>
            <family val="2"/>
          </rPr>
          <t xml:space="preserve">
ingreso
</t>
        </r>
      </text>
    </comment>
    <comment ref="F137" authorId="0" shapeId="0">
      <text>
        <r>
          <rPr>
            <b/>
            <sz val="9"/>
            <color indexed="81"/>
            <rFont val="Tahoma"/>
            <family val="2"/>
          </rPr>
          <t>Danna Salomé Martínez Ramírez:</t>
        </r>
        <r>
          <rPr>
            <sz val="9"/>
            <color indexed="81"/>
            <rFont val="Tahoma"/>
            <family val="2"/>
          </rPr>
          <t xml:space="preserve">
ingreso
</t>
        </r>
      </text>
    </comment>
    <comment ref="F144" authorId="0" shapeId="0">
      <text>
        <r>
          <rPr>
            <b/>
            <sz val="9"/>
            <color indexed="81"/>
            <rFont val="Tahoma"/>
            <family val="2"/>
          </rPr>
          <t>Danna Salomé Martínez Ramírez:</t>
        </r>
        <r>
          <rPr>
            <sz val="9"/>
            <color indexed="81"/>
            <rFont val="Tahoma"/>
            <family val="2"/>
          </rPr>
          <t xml:space="preserve">
tiene 2 dias en IGE + 28 dias normales</t>
        </r>
      </text>
    </comment>
    <comment ref="F146" authorId="0" shapeId="0">
      <text>
        <r>
          <rPr>
            <b/>
            <sz val="9"/>
            <color indexed="81"/>
            <rFont val="Tahoma"/>
            <family val="2"/>
          </rPr>
          <t>Danna Salomé Martínez Ramírez:</t>
        </r>
        <r>
          <rPr>
            <sz val="9"/>
            <color indexed="81"/>
            <rFont val="Tahoma"/>
            <family val="2"/>
          </rPr>
          <t xml:space="preserve">
tiene 1 dia en IGE + 29 dias normales</t>
        </r>
      </text>
    </comment>
    <comment ref="F155" authorId="0" shapeId="0">
      <text>
        <r>
          <rPr>
            <b/>
            <sz val="9"/>
            <color indexed="81"/>
            <rFont val="Tahoma"/>
            <family val="2"/>
          </rPr>
          <t>Danna Salomé Martínez Ramírez:</t>
        </r>
        <r>
          <rPr>
            <sz val="9"/>
            <color indexed="81"/>
            <rFont val="Tahoma"/>
            <family val="2"/>
          </rPr>
          <t xml:space="preserve">
se supone que trabajo hasta el 10/04/2024</t>
        </r>
      </text>
    </comment>
    <comment ref="F158" authorId="0" shapeId="0">
      <text>
        <r>
          <rPr>
            <b/>
            <sz val="9"/>
            <color indexed="81"/>
            <rFont val="Tahoma"/>
            <family val="2"/>
          </rPr>
          <t>Danna Salomé Martínez Ramírez:</t>
        </r>
        <r>
          <rPr>
            <sz val="9"/>
            <color indexed="81"/>
            <rFont val="Tahoma"/>
            <family val="2"/>
          </rPr>
          <t xml:space="preserve">
tiene 8 dias en SLN + 22 dias normales</t>
        </r>
      </text>
    </comment>
    <comment ref="F159" authorId="0" shapeId="0">
      <text>
        <r>
          <rPr>
            <b/>
            <sz val="9"/>
            <color indexed="81"/>
            <rFont val="Tahoma"/>
            <family val="2"/>
          </rPr>
          <t>Danna Salomé Martínez Ramírez:</t>
        </r>
        <r>
          <rPr>
            <sz val="9"/>
            <color indexed="81"/>
            <rFont val="Tahoma"/>
            <family val="2"/>
          </rPr>
          <t xml:space="preserve">
ingreso
</t>
        </r>
      </text>
    </comment>
    <comment ref="F163" authorId="0" shapeId="0">
      <text>
        <r>
          <rPr>
            <b/>
            <sz val="9"/>
            <color indexed="81"/>
            <rFont val="Tahoma"/>
            <family val="2"/>
          </rPr>
          <t>Danna Salomé Martínez Ramírez:</t>
        </r>
        <r>
          <rPr>
            <sz val="9"/>
            <color indexed="81"/>
            <rFont val="Tahoma"/>
            <family val="2"/>
          </rPr>
          <t xml:space="preserve">
tiene 2 dias en IGE + 28 dias normales</t>
        </r>
      </text>
    </comment>
    <comment ref="F165" authorId="0" shapeId="0">
      <text>
        <r>
          <rPr>
            <b/>
            <sz val="9"/>
            <color indexed="81"/>
            <rFont val="Tahoma"/>
            <family val="2"/>
          </rPr>
          <t>Danna Salomé Martínez Ramírez:</t>
        </r>
        <r>
          <rPr>
            <sz val="9"/>
            <color indexed="81"/>
            <rFont val="Tahoma"/>
            <family val="2"/>
          </rPr>
          <t xml:space="preserve">
30 dias en VST</t>
        </r>
      </text>
    </comment>
    <comment ref="F168" authorId="0" shapeId="0">
      <text>
        <r>
          <rPr>
            <b/>
            <sz val="9"/>
            <color indexed="81"/>
            <rFont val="Tahoma"/>
            <family val="2"/>
          </rPr>
          <t>Danna Salomé Martínez Ramírez:</t>
        </r>
        <r>
          <rPr>
            <sz val="9"/>
            <color indexed="81"/>
            <rFont val="Tahoma"/>
            <family val="2"/>
          </rPr>
          <t xml:space="preserve">
ingreso</t>
        </r>
      </text>
    </comment>
    <comment ref="F169" authorId="0" shapeId="0">
      <text>
        <r>
          <rPr>
            <b/>
            <sz val="9"/>
            <color indexed="81"/>
            <rFont val="Tahoma"/>
            <family val="2"/>
          </rPr>
          <t>Danna Salomé Martínez Ramírez:</t>
        </r>
        <r>
          <rPr>
            <sz val="9"/>
            <color indexed="81"/>
            <rFont val="Tahoma"/>
            <family val="2"/>
          </rPr>
          <t xml:space="preserve">
ingreso
</t>
        </r>
      </text>
    </comment>
    <comment ref="F170" authorId="0" shapeId="0">
      <text>
        <r>
          <rPr>
            <b/>
            <sz val="9"/>
            <color indexed="81"/>
            <rFont val="Tahoma"/>
            <family val="2"/>
          </rPr>
          <t>Danna Salomé Martínez Ramírez:</t>
        </r>
        <r>
          <rPr>
            <sz val="9"/>
            <color indexed="81"/>
            <rFont val="Tahoma"/>
            <family val="2"/>
          </rPr>
          <t xml:space="preserve">
ingreso
</t>
        </r>
      </text>
    </comment>
    <comment ref="F171" authorId="0" shapeId="0">
      <text>
        <r>
          <rPr>
            <b/>
            <sz val="9"/>
            <color indexed="81"/>
            <rFont val="Tahoma"/>
            <family val="2"/>
          </rPr>
          <t>Danna Salomé Martínez Ramírez:</t>
        </r>
        <r>
          <rPr>
            <sz val="9"/>
            <color indexed="81"/>
            <rFont val="Tahoma"/>
            <family val="2"/>
          </rPr>
          <t xml:space="preserve">
al parecer se retiro el 30/04/2024</t>
        </r>
      </text>
    </comment>
    <comment ref="G171" authorId="0" shapeId="0">
      <text>
        <r>
          <rPr>
            <b/>
            <sz val="9"/>
            <color indexed="81"/>
            <rFont val="Tahoma"/>
            <family val="2"/>
          </rPr>
          <t>Danna Salomé Martínez Ramírez:</t>
        </r>
        <r>
          <rPr>
            <sz val="9"/>
            <color indexed="81"/>
            <rFont val="Tahoma"/>
            <family val="2"/>
          </rPr>
          <t xml:space="preserve">
TAMBIEN LE PAGARON $425.346 EL 08/05/2024 IMAGINO QUE ES LA LIQUIDACION</t>
        </r>
      </text>
    </comment>
    <comment ref="F172" authorId="0" shapeId="0">
      <text>
        <r>
          <rPr>
            <b/>
            <sz val="9"/>
            <color indexed="81"/>
            <rFont val="Tahoma"/>
            <family val="2"/>
          </rPr>
          <t>Danna Salomé Martínez Ramírez:</t>
        </r>
        <r>
          <rPr>
            <sz val="9"/>
            <color indexed="81"/>
            <rFont val="Tahoma"/>
            <family val="2"/>
          </rPr>
          <t xml:space="preserve">
según la empresa ingreso el 18 de marzo y se retiro el 02 de abril de 2024</t>
        </r>
      </text>
    </comment>
    <comment ref="F174" authorId="0" shapeId="0">
      <text>
        <r>
          <rPr>
            <b/>
            <sz val="9"/>
            <color indexed="81"/>
            <rFont val="Tahoma"/>
            <family val="2"/>
          </rPr>
          <t>Danna Salomé Martínez Ramírez:</t>
        </r>
        <r>
          <rPr>
            <sz val="9"/>
            <color indexed="81"/>
            <rFont val="Tahoma"/>
            <family val="2"/>
          </rPr>
          <t xml:space="preserve">
tiene 1 dia en IGE + 29 dias normales</t>
        </r>
      </text>
    </comment>
    <comment ref="F176" authorId="0" shapeId="0">
      <text>
        <r>
          <rPr>
            <b/>
            <sz val="9"/>
            <color indexed="81"/>
            <rFont val="Tahoma"/>
            <family val="2"/>
          </rPr>
          <t>Danna Salomé Martínez Ramírez:</t>
        </r>
        <r>
          <rPr>
            <sz val="9"/>
            <color indexed="81"/>
            <rFont val="Tahoma"/>
            <family val="2"/>
          </rPr>
          <t xml:space="preserve">
tiene 3 dias en VAC (L) + 27 dias normales</t>
        </r>
      </text>
    </comment>
    <comment ref="F179" authorId="0" shapeId="0">
      <text>
        <r>
          <rPr>
            <b/>
            <sz val="9"/>
            <color indexed="81"/>
            <rFont val="Tahoma"/>
            <family val="2"/>
          </rPr>
          <t>Danna Salomé Martínez Ramírez:</t>
        </r>
        <r>
          <rPr>
            <sz val="9"/>
            <color indexed="81"/>
            <rFont val="Tahoma"/>
            <family val="2"/>
          </rPr>
          <t xml:space="preserve">
tiene 2 dias en IGE + 28 dias normales</t>
        </r>
      </text>
    </comment>
    <comment ref="F183" authorId="0" shapeId="0">
      <text>
        <r>
          <rPr>
            <b/>
            <sz val="9"/>
            <color indexed="81"/>
            <rFont val="Tahoma"/>
            <family val="2"/>
          </rPr>
          <t>Danna Salomé Martínez Ramírez:</t>
        </r>
        <r>
          <rPr>
            <sz val="9"/>
            <color indexed="81"/>
            <rFont val="Tahoma"/>
            <family val="2"/>
          </rPr>
          <t xml:space="preserve">
ingreso</t>
        </r>
      </text>
    </comment>
    <comment ref="F185" authorId="0" shapeId="0">
      <text>
        <r>
          <rPr>
            <b/>
            <sz val="9"/>
            <color indexed="81"/>
            <rFont val="Tahoma"/>
            <family val="2"/>
          </rPr>
          <t>Danna Salomé Martínez Ramírez:</t>
        </r>
        <r>
          <rPr>
            <sz val="9"/>
            <color indexed="81"/>
            <rFont val="Tahoma"/>
            <family val="2"/>
          </rPr>
          <t xml:space="preserve">
tiene 3 dias en VAC (L) + 27 dias normales</t>
        </r>
      </text>
    </comment>
    <comment ref="F188" authorId="0" shapeId="0">
      <text>
        <r>
          <rPr>
            <b/>
            <sz val="9"/>
            <color indexed="81"/>
            <rFont val="Tahoma"/>
            <family val="2"/>
          </rPr>
          <t>Danna Salomé Martínez Ramírez:</t>
        </r>
        <r>
          <rPr>
            <sz val="9"/>
            <color indexed="81"/>
            <rFont val="Tahoma"/>
            <family val="2"/>
          </rPr>
          <t xml:space="preserve">
tiene 2 dias en IGE +10 dias en IGE + 18 dias normales</t>
        </r>
      </text>
    </comment>
    <comment ref="F196" authorId="0" shapeId="0">
      <text>
        <r>
          <rPr>
            <b/>
            <sz val="9"/>
            <color indexed="81"/>
            <rFont val="Tahoma"/>
            <family val="2"/>
          </rPr>
          <t>Danna Salomé Martínez Ramírez:</t>
        </r>
        <r>
          <rPr>
            <sz val="9"/>
            <color indexed="81"/>
            <rFont val="Tahoma"/>
            <family val="2"/>
          </rPr>
          <t xml:space="preserve">
ingreso
</t>
        </r>
      </text>
    </comment>
  </commentList>
</comments>
</file>

<file path=xl/comments3.xml><?xml version="1.0" encoding="utf-8"?>
<comments xmlns="http://schemas.openxmlformats.org/spreadsheetml/2006/main">
  <authors>
    <author>Danna Salomé Martínez Ramírez</author>
  </authors>
  <commentList>
    <comment ref="F3" authorId="0" shapeId="0">
      <text>
        <r>
          <rPr>
            <b/>
            <sz val="9"/>
            <color indexed="81"/>
            <rFont val="Tahoma"/>
            <family val="2"/>
          </rPr>
          <t>Danna Salomé Martínez Ramírez:</t>
        </r>
        <r>
          <rPr>
            <sz val="9"/>
            <color indexed="81"/>
            <rFont val="Tahoma"/>
            <family val="2"/>
          </rPr>
          <t xml:space="preserve">
Se certifican 34 operarias de aseo y cafeteria (incluyendo el operario auxiliar); pero se deben descontar 10 dias en total del mes de abril</t>
        </r>
      </text>
    </comment>
    <comment ref="G3" authorId="0" shapeId="0">
      <text>
        <r>
          <rPr>
            <b/>
            <sz val="9"/>
            <color indexed="81"/>
            <rFont val="Tahoma"/>
            <family val="2"/>
          </rPr>
          <t>Danna Salomé Martínez Ramírez:</t>
        </r>
        <r>
          <rPr>
            <sz val="9"/>
            <color indexed="81"/>
            <rFont val="Tahoma"/>
            <family val="2"/>
          </rPr>
          <t xml:space="preserve">
En el cumplido certifican 12 y en la matriz hay 13</t>
        </r>
      </text>
    </comment>
    <comment ref="T3" authorId="0" shapeId="0">
      <text>
        <r>
          <rPr>
            <b/>
            <sz val="9"/>
            <color indexed="81"/>
            <rFont val="Tahoma"/>
            <family val="2"/>
          </rPr>
          <t>Danna Salomé Martínez Ramírez:</t>
        </r>
        <r>
          <rPr>
            <sz val="9"/>
            <color indexed="81"/>
            <rFont val="Tahoma"/>
            <family val="2"/>
          </rPr>
          <t xml:space="preserve">
En el cumplido certifican 2 operarias</t>
        </r>
      </text>
    </comment>
    <comment ref="U3" authorId="0" shapeId="0">
      <text>
        <r>
          <rPr>
            <b/>
            <sz val="9"/>
            <color indexed="81"/>
            <rFont val="Tahoma"/>
            <family val="2"/>
          </rPr>
          <t>Danna Salomé Martínez Ramírez:</t>
        </r>
        <r>
          <rPr>
            <sz val="9"/>
            <color indexed="81"/>
            <rFont val="Tahoma"/>
            <family val="2"/>
          </rPr>
          <t xml:space="preserve">
Falta que confirmen; porque certifican 4 operarias; pero en la nota dice que ha ido una operaria adicional a apoyar en vez de uno de los toderos</t>
        </r>
      </text>
    </comment>
    <comment ref="X3" authorId="0" shapeId="0">
      <text>
        <r>
          <rPr>
            <b/>
            <sz val="9"/>
            <color indexed="81"/>
            <rFont val="Tahoma"/>
            <family val="2"/>
          </rPr>
          <t>Danna Salomé Martínez Ramírez:</t>
        </r>
        <r>
          <rPr>
            <sz val="9"/>
            <color indexed="81"/>
            <rFont val="Tahoma"/>
            <family val="2"/>
          </rPr>
          <t xml:space="preserve">
Falta que la empresa diga cual fue la otra operaria que quedo asignada; toda vez que del 1 al 23 de abril tuvieron 2 y del 24 al 30 tuvieron 3</t>
        </r>
      </text>
    </comment>
    <comment ref="AA3" authorId="0" shapeId="0">
      <text>
        <r>
          <rPr>
            <b/>
            <sz val="9"/>
            <color indexed="81"/>
            <rFont val="Tahoma"/>
            <family val="2"/>
          </rPr>
          <t>Danna Salomé Martínez Ramírez:</t>
        </r>
        <r>
          <rPr>
            <sz val="9"/>
            <color indexed="81"/>
            <rFont val="Tahoma"/>
            <family val="2"/>
          </rPr>
          <t xml:space="preserve">
Aquí se suma tanto el CADE Patio Bonito como el Centro de Encuentro Patio Bonito</t>
        </r>
      </text>
    </comment>
    <comment ref="F4" authorId="0" shapeId="0">
      <text>
        <r>
          <rPr>
            <b/>
            <sz val="9"/>
            <color indexed="81"/>
            <rFont val="Tahoma"/>
            <family val="2"/>
          </rPr>
          <t>Danna Salomé Martínez Ramírez:</t>
        </r>
        <r>
          <rPr>
            <sz val="9"/>
            <color indexed="81"/>
            <rFont val="Tahoma"/>
            <family val="2"/>
          </rPr>
          <t xml:space="preserve">
Se certifican 12 operarios de mantenimiento. Falta que la empresa aclare quienes son las personas</t>
        </r>
      </text>
    </comment>
    <comment ref="K4" authorId="0" shapeId="0">
      <text>
        <r>
          <rPr>
            <b/>
            <sz val="9"/>
            <color indexed="81"/>
            <rFont val="Tahoma"/>
            <family val="2"/>
          </rPr>
          <t>Danna Salomé Martínez Ramírez:</t>
        </r>
        <r>
          <rPr>
            <sz val="9"/>
            <color indexed="81"/>
            <rFont val="Tahoma"/>
            <family val="2"/>
          </rPr>
          <t xml:space="preserve">
Falta que la empresa confirme quin fue; toda vez que en el cumplido dicen que fue 1 operario </t>
        </r>
      </text>
    </comment>
    <comment ref="L4" authorId="0" shapeId="0">
      <text>
        <r>
          <rPr>
            <b/>
            <sz val="9"/>
            <color indexed="81"/>
            <rFont val="Tahoma"/>
            <family val="2"/>
          </rPr>
          <t>Danna Salomé Martínez Ramírez:</t>
        </r>
        <r>
          <rPr>
            <sz val="9"/>
            <color indexed="81"/>
            <rFont val="Tahoma"/>
            <family val="2"/>
          </rPr>
          <t xml:space="preserve">
Falta que confirmen porque dicen que tienen 2 toderos pero que uno llego el 16 y el otro no</t>
        </r>
      </text>
    </comment>
    <comment ref="U4" authorId="0" shapeId="0">
      <text>
        <r>
          <rPr>
            <b/>
            <sz val="9"/>
            <color indexed="81"/>
            <rFont val="Tahoma"/>
            <family val="2"/>
          </rPr>
          <t>Danna Salomé Martínez Ramírez:</t>
        </r>
        <r>
          <rPr>
            <sz val="9"/>
            <color indexed="81"/>
            <rFont val="Tahoma"/>
            <family val="2"/>
          </rPr>
          <t xml:space="preserve">
Falta que confirmen cuantos toderos; porque certifican 1 pero dice q son 2 y q una operararia adicional ha ido a apoyar</t>
        </r>
      </text>
    </comment>
    <comment ref="X6" authorId="0" shapeId="0">
      <text>
        <r>
          <rPr>
            <b/>
            <sz val="9"/>
            <color indexed="81"/>
            <rFont val="Tahoma"/>
            <family val="2"/>
          </rPr>
          <t>Danna Salomé Martínez Ramírez:</t>
        </r>
        <r>
          <rPr>
            <sz val="9"/>
            <color indexed="81"/>
            <rFont val="Tahoma"/>
            <family val="2"/>
          </rPr>
          <t xml:space="preserve">
certifican 1 pero falta que la empresa indique cual fue
</t>
        </r>
      </text>
    </comment>
    <comment ref="F7" authorId="0" shapeId="0">
      <text>
        <r>
          <rPr>
            <b/>
            <sz val="9"/>
            <color indexed="81"/>
            <rFont val="Tahoma"/>
            <family val="2"/>
          </rPr>
          <t>Danna Salomé Martínez Ramírez:</t>
        </r>
        <r>
          <rPr>
            <sz val="9"/>
            <color indexed="81"/>
            <rFont val="Tahoma"/>
            <family val="2"/>
          </rPr>
          <t xml:space="preserve">
Falta q confirmen quien reemplazo a ripe</t>
        </r>
      </text>
    </comment>
    <comment ref="AF10" authorId="0" shapeId="0">
      <text>
        <r>
          <rPr>
            <b/>
            <sz val="9"/>
            <color indexed="81"/>
            <rFont val="Tahoma"/>
            <family val="2"/>
          </rPr>
          <t>Danna Salomé Martínez Ramírez:</t>
        </r>
        <r>
          <rPr>
            <sz val="9"/>
            <color indexed="81"/>
            <rFont val="Tahoma"/>
            <family val="2"/>
          </rPr>
          <t xml:space="preserve">
falta que las remisiones
</t>
        </r>
      </text>
    </comment>
  </commentList>
</comments>
</file>

<file path=xl/comments4.xml><?xml version="1.0" encoding="utf-8"?>
<comments xmlns="http://schemas.openxmlformats.org/spreadsheetml/2006/main">
  <authors>
    <author>Danna Salomé Martínez Ramírez</author>
    <author>Danna</author>
  </authors>
  <commentList>
    <comment ref="S1" authorId="0" shapeId="0">
      <text>
        <r>
          <rPr>
            <b/>
            <sz val="9"/>
            <color indexed="81"/>
            <rFont val="Tahoma"/>
            <family val="2"/>
          </rPr>
          <t>Danna Salomé Martínez Ramírez:</t>
        </r>
        <r>
          <rPr>
            <sz val="9"/>
            <color indexed="81"/>
            <rFont val="Tahoma"/>
            <family val="2"/>
          </rPr>
          <t xml:space="preserve">
la remisiion que envia nayibe no esta firmada</t>
        </r>
      </text>
    </comment>
    <comment ref="T1" authorId="0" shapeId="0">
      <text>
        <r>
          <rPr>
            <b/>
            <sz val="9"/>
            <color indexed="81"/>
            <rFont val="Tahoma"/>
            <family val="2"/>
          </rPr>
          <t>Danna Salomé Martínez Ramírez:</t>
        </r>
        <r>
          <rPr>
            <sz val="9"/>
            <color indexed="81"/>
            <rFont val="Tahoma"/>
            <family val="2"/>
          </rPr>
          <t xml:space="preserve">
remision enviada por Nayibe no esta firmada
</t>
        </r>
      </text>
    </comment>
    <comment ref="V1" authorId="0" shapeId="0">
      <text>
        <r>
          <rPr>
            <b/>
            <sz val="9"/>
            <color indexed="81"/>
            <rFont val="Tahoma"/>
            <family val="2"/>
          </rPr>
          <t>Danna Salomé Martínez Ramírez:</t>
        </r>
        <r>
          <rPr>
            <sz val="9"/>
            <color indexed="81"/>
            <rFont val="Tahoma"/>
            <family val="2"/>
          </rPr>
          <t xml:space="preserve">
la remision que envia nayibe no esta firmada</t>
        </r>
      </text>
    </comment>
    <comment ref="W1" authorId="0" shapeId="0">
      <text>
        <r>
          <rPr>
            <b/>
            <sz val="9"/>
            <color indexed="81"/>
            <rFont val="Tahoma"/>
            <family val="2"/>
          </rPr>
          <t>Danna Salomé Martínez Ramírez:</t>
        </r>
        <r>
          <rPr>
            <sz val="9"/>
            <color indexed="81"/>
            <rFont val="Tahoma"/>
            <family val="2"/>
          </rPr>
          <t xml:space="preserve">
la remision del 11/04/2024 que envia nayibe no esta firmada
</t>
        </r>
      </text>
    </comment>
    <comment ref="AN1" authorId="1" shapeId="0">
      <text>
        <r>
          <rPr>
            <b/>
            <sz val="9"/>
            <color indexed="81"/>
            <rFont val="Tahoma"/>
            <family val="2"/>
          </rPr>
          <t>Danna:</t>
        </r>
        <r>
          <rPr>
            <sz val="9"/>
            <color indexed="81"/>
            <rFont val="Tahoma"/>
            <family val="2"/>
          </rPr>
          <t xml:space="preserve">
esta remision no esta firmada. Ni dice fecha. Solo dice que entregaron 3 botellones vacios de agua y al parecer firma alguien de la empresa de aseo
</t>
        </r>
      </text>
    </comment>
    <comment ref="AB70" authorId="1" shapeId="0">
      <text>
        <r>
          <rPr>
            <b/>
            <sz val="9"/>
            <color indexed="81"/>
            <rFont val="Tahoma"/>
            <family val="2"/>
          </rPr>
          <t>Danna:</t>
        </r>
        <r>
          <rPr>
            <sz val="9"/>
            <color indexed="81"/>
            <rFont val="Tahoma"/>
            <family val="2"/>
          </rPr>
          <t xml:space="preserve">
llegaron de 40 unidades y no de 50</t>
        </r>
      </text>
    </comment>
  </commentList>
</comments>
</file>

<file path=xl/sharedStrings.xml><?xml version="1.0" encoding="utf-8"?>
<sst xmlns="http://schemas.openxmlformats.org/spreadsheetml/2006/main" count="4730" uniqueCount="1536">
  <si>
    <t>Servicio</t>
  </si>
  <si>
    <t>Unidad</t>
  </si>
  <si>
    <t>Descuento %</t>
  </si>
  <si>
    <t>Precio Unitario con Descuento</t>
  </si>
  <si>
    <t>Nuevo precio cláusula 8</t>
  </si>
  <si>
    <t>Valor Mensual / Valor X Unidad</t>
  </si>
  <si>
    <t>Greca para tintos 3 (Arrendamiento)</t>
  </si>
  <si>
    <t>Lavabrilladora de pisos 1 (Arrendamiento)</t>
  </si>
  <si>
    <t>Hidrolavadora Industrial (Arrendamiento)</t>
  </si>
  <si>
    <t>Subtotal</t>
  </si>
  <si>
    <t>% AIU</t>
  </si>
  <si>
    <t>IVA</t>
  </si>
  <si>
    <t>Total</t>
  </si>
  <si>
    <t xml:space="preserve">VALOR DIA </t>
  </si>
  <si>
    <t>Cantidad Personal</t>
  </si>
  <si>
    <t>V/mensual</t>
  </si>
  <si>
    <t>TOTAL SERVICIOS DE OPERARIOS DE ASEO Y CAFETERIA</t>
  </si>
  <si>
    <t>OPERARIA DE ASEO Y CAFETERIA</t>
  </si>
  <si>
    <t>OPERARIO MANTENIMIENTO TIEMPO COMPLETO</t>
  </si>
  <si>
    <t>OPERARIO AUXILIAR</t>
  </si>
  <si>
    <t>JARDINEROS</t>
  </si>
  <si>
    <t>COORDINADOR TIEMPO COMPLETO</t>
  </si>
  <si>
    <t xml:space="preserve">MAQUINARIA ALCALDIA DE BOGOTA -UT SERVIASEAMOS </t>
  </si>
  <si>
    <t>Detalle Sede</t>
  </si>
  <si>
    <t xml:space="preserve">Total al entregar </t>
  </si>
  <si>
    <t xml:space="preserve">FALTANTES </t>
  </si>
  <si>
    <t>Sede 1</t>
  </si>
  <si>
    <t>Sede 2</t>
  </si>
  <si>
    <t>Sede 3</t>
  </si>
  <si>
    <t>Sede 4</t>
  </si>
  <si>
    <t>Sede 5</t>
  </si>
  <si>
    <t>Sede 6</t>
  </si>
  <si>
    <t>Sede 7</t>
  </si>
  <si>
    <t>Sede 8</t>
  </si>
  <si>
    <t>Sede 9</t>
  </si>
  <si>
    <t>Sede 10</t>
  </si>
  <si>
    <t>Sede 11</t>
  </si>
  <si>
    <t>Sede 12</t>
  </si>
  <si>
    <t>Sede 13</t>
  </si>
  <si>
    <t>Sede 14</t>
  </si>
  <si>
    <t>Sede 15</t>
  </si>
  <si>
    <t>Sede 16</t>
  </si>
  <si>
    <t>Sede 17</t>
  </si>
  <si>
    <t>Sede 18</t>
  </si>
  <si>
    <t>Sede 19</t>
  </si>
  <si>
    <t>Sede 20</t>
  </si>
  <si>
    <t>Sede 21</t>
  </si>
  <si>
    <t>Sede 22</t>
  </si>
  <si>
    <t>Sede 23</t>
  </si>
  <si>
    <t>Sede 24</t>
  </si>
  <si>
    <t>Sede 25</t>
  </si>
  <si>
    <t>No.</t>
  </si>
  <si>
    <t>Bien</t>
  </si>
  <si>
    <t xml:space="preserve">Especificación </t>
  </si>
  <si>
    <t xml:space="preserve">Presentación </t>
  </si>
  <si>
    <t xml:space="preserve">Cantidad </t>
  </si>
  <si>
    <t>CARRERA 8 No 10-65</t>
  </si>
  <si>
    <t>CALLE 6B-No. 5-75</t>
  </si>
  <si>
    <t>Calle 11 Sur No 1-60 Este</t>
  </si>
  <si>
    <t>CARRERA 8 No 11-39</t>
  </si>
  <si>
    <t>CARRERA 30 No 35-90</t>
  </si>
  <si>
    <t>AV. CARRERA 86 # 43 - 55 SUR</t>
  </si>
  <si>
    <t xml:space="preserve">AV CALLE 57 R 72 D 12 </t>
  </si>
  <si>
    <t>CALLE 13 # 37 - 35</t>
  </si>
  <si>
    <t>Cra 5 A # 30 C - 20 Sur</t>
  </si>
  <si>
    <t>CARRERA 18 L # 70B- 50 SUR</t>
  </si>
  <si>
    <t>AVENIDA CALLE 145 No. 103B - 90</t>
  </si>
  <si>
    <t>DIAGONAL 23 No. 69A 55 MODULO 5 LOCAL 124</t>
  </si>
  <si>
    <t>Diagonal 37 Sur No 2 - 00 Este</t>
  </si>
  <si>
    <t>TRANSVERSAL 126 No. 133 . 22</t>
  </si>
  <si>
    <t>TRANVERSAL 113B No. 66 - 54</t>
  </si>
  <si>
    <t>CARRERA 17 F #69 A-32 SUR</t>
  </si>
  <si>
    <t>Carrera 19b # 24 - 82</t>
  </si>
  <si>
    <t>CALLE 69 A # 92-47 SUR  BOSA</t>
  </si>
  <si>
    <t>CALLE 63 No. 15 - 58</t>
  </si>
  <si>
    <t>CARRERA 17 F # 69 A 32 SUR</t>
  </si>
  <si>
    <t>CARRERA 87 # 5B - 21</t>
  </si>
  <si>
    <t>Calle 22 SUR # 14A - 99</t>
  </si>
  <si>
    <t>TRANVERSAL 126 No. 133 - 32</t>
  </si>
  <si>
    <t>PISO 27 TEQUENDAMA SUITES AND HOTEL</t>
  </si>
  <si>
    <t>Olleta (Arrendamiento)</t>
  </si>
  <si>
    <t>- Elaborada en aluminio
- Capacidad mínima de 2 litros</t>
  </si>
  <si>
    <t>Olla 2 (Arrendamiento)</t>
  </si>
  <si>
    <t>- Elaborada en aluminio
- Con tapa en aluminio
- Capacidad mínima de 5 litros</t>
  </si>
  <si>
    <t>Carro exprimidor de trapero 2 (Arrendamiento)</t>
  </si>
  <si>
    <t>- Elaborado en plástico
- Capacidad mínima de 35 litros
- Con cuatro ruedas y manija de escurridor</t>
  </si>
  <si>
    <t>Carro de bebidas (Arrendamiento)</t>
  </si>
  <si>
    <t>- Elaborado en plástico
- Mínimo dos estantes para distribución de bebidas
- Tamaño mínimo de 80 cm de largo por 47 cm de ancho por 90 cm de alto</t>
  </si>
  <si>
    <t>Escalera 2 (Arrendamiento)</t>
  </si>
  <si>
    <t xml:space="preserve"> - Cuerpo Metálico
- Altura mínima de  mínimo dos pasos.</t>
  </si>
  <si>
    <t>Escalera de tipo industrial (Arrendamiento)</t>
  </si>
  <si>
    <t>Cuerpo en aluminio, tipo tijera
- Altura mínima de 5 escalones
- Con capacidad de resistencia a una carga concentrada en cualquier punto del escalón de 127 kg
- Con tapones de caucho antideslizantes</t>
  </si>
  <si>
    <t>Mangueras 2 (Arrendamiento)</t>
  </si>
  <si>
    <t>- Longitud mínima de 30 metros
- Elaborada en PVC
- Con terminales roscadas en ambos extremos
- Incluye accesorios: acoples y pistola</t>
  </si>
  <si>
    <t>Mangueras 3 (Arrendamiento)</t>
  </si>
  <si>
    <t>- Longitud mínima de 50 metros
- Elaborada en PVC
- Con terminales roscadas en ambos extremos
- Incluye accesorios: acoples y pistola</t>
  </si>
  <si>
    <t>Greca para tintos 2 (Arrendamiento)</t>
  </si>
  <si>
    <t>- Eléctrica de 110 v
- Cuerpo elaborada en lámina de acero inoxidable de calibre 24 como mínimo, grado alimento
- Resistencias elaboradas en cobre
- Terminales elaboradas en cobre remplazables sin soldadura
- Mínimo 2 servicios
 -Con su respectivo filtro y aro
- Con capacidad para 60 tintos</t>
  </si>
  <si>
    <t>- Eléctrica de 110 v
- Cuerpo elaborada en lámina de acero inoxidable de calibre 24 como mínimo, grado alimento
- Resistencias elaboradas en cobre
- Terminales elaboradas en cobre remplazables sin soldadura
- Mínimo dos servicios
 -Con su respectivo filtro y aro
 - Con capacidad para 120 tintos</t>
  </si>
  <si>
    <t>Horno microondas de tipo industrial (Arrendamiento)</t>
  </si>
  <si>
    <t>- Potencia mínima de 1000 w
- Tamaño mínimo de 30 cm de ancho por 30 cm de alto por 40 cm de profundidad.
- Descongelamiento automático
- Con programas automáticos</t>
  </si>
  <si>
    <t>Estufa 1 (Arrendamiento)</t>
  </si>
  <si>
    <t>- De dos puestos
- Lámina esmaltada
- Eléctrica
- Con perilla para graduar mínimo 3 niveles de calor</t>
  </si>
  <si>
    <t>- De uso industrial
- Motores con potencia mínima de 1,5 hp y velocidad mínima de 175 rpm.
- Con manijas dobles
- Con interruptor de apagado de seguridad
- Diámetro mínimo de 16"
- Cable de potencia con longitud mínima de 8m
- Accesorios mínimos portapad, cepillo suave y duro</t>
  </si>
  <si>
    <t xml:space="preserve">Unidad </t>
  </si>
  <si>
    <t>Lavabrilladora de pisos 2 (Arrendamiento)</t>
  </si>
  <si>
    <t>- De uso industrial
- Motores con potencia mínima de 1,5 hp y velocidad mínima de 175 rpm.
- Con manijas dobles
- Con interruptor de apagado de seguridad
- Diámetro mínimo de 20"
- Cable de potencia con longitud mínima de 8m
- Accesorios mínimos portapad, cepillo suave y duro</t>
  </si>
  <si>
    <t>Brilladora de alta revolución (Arrendamiento)</t>
  </si>
  <si>
    <t>- De uso industrial
- Motores con potencia mínima de 1,5 hp y velocidad mínima de 1500 rpm.
- Con manijas dobles
- Con interruptor de apagado de seguridad
- Diámetro mínimo de 20"
- Cable de potencia con longitud mínima de 8m
- Accesorios mínimos - portapad</t>
  </si>
  <si>
    <t>Lavadora de alfombras y tapetes 1 (Arrendamiento)</t>
  </si>
  <si>
    <t xml:space="preserve"> - Motor con potencia de mínimo 1100 w y velocidad mínima de 175 revoluciones por minuto.
- Capacidad mínima de 5 litros
- Cable de potencia con longitud mínima de 8m
- Para lavar en seco o a vapor
- Diámetro mínimo de 16"</t>
  </si>
  <si>
    <t xml:space="preserve"> - Motor eléctrico y potencia de mínimo 2.2 Kw - 1.450 RPM y entre 2.5 HP y 3.5 HP.
 - Presión de salida de agua entre 900 psi y 1900 psi.
 - Con ruedas</t>
  </si>
  <si>
    <t>Sopladora de hojas (Arrendamiento)</t>
  </si>
  <si>
    <t xml:space="preserve"> - Potenciado por motor a gasolina o eléctrico inalámbrico
 - Caudal mínimo de 380 cfm / 645m3/h
 - Autonomía mínima de 30 minutos
 - Intensidad máxima de sonido de 100dB
 - Incluye combustible para su funcionamiento (Máximo 3 galones)</t>
  </si>
  <si>
    <t>Guadañas (Arrendamiento)</t>
  </si>
  <si>
    <t xml:space="preserve"> -Guadaña de Eje Rígido
 - Viene cilindrada con apróximadamente 30 a 51,6 cm3.
-Peso promedio entre 6,5 Kg y 7,7 Kg.
-Cuchilla de 80 puntas
-Capacidad del tanque de combustible entre 0,65 Lt y 1 Lt.
-Cuenta con un sistema de arranque manual.
-Cuenta con un sistema de ignición electrónico
 - Incluye el combustible para su funcioamiento (Máximo 3 galones)</t>
  </si>
  <si>
    <t>Bandeja 1 (Arrendamiento)</t>
  </si>
  <si>
    <t>- Elaborada en acero inoxidable
- Sin diseño
- Dimensiones mínimas de 37 cm de largo por 27 cm de ancho</t>
  </si>
  <si>
    <t>Bandeja 2 (Arrendamiento)</t>
  </si>
  <si>
    <t>- Elaborada en acero inoxidable
- Sin diseño
- Dimensiones mínimas de 50 cm de largo por 33 cm de ancho</t>
  </si>
  <si>
    <t>Sonda para inodoro (Arrendamiento)</t>
  </si>
  <si>
    <t>-Sonda de mínimo 3''
-Cubierta de vinilo para proteger la porcelana.
- Cable de 1/2" (12,7 mm) con núcleo interno recubierto por compresión, resistente al retorcimiento.
-Mangos grandes y de diseño ergonómico.
-Funcional en inodoros ahorradores de agua
-Peso entre 1,9 kg y 2,5 kg</t>
  </si>
  <si>
    <t>Aspiradora 2 (Arrendamiento)</t>
  </si>
  <si>
    <t>- De uso industrial para aspirado en seco y húmedo
- Motor con potencia entre 1200 w y 1400 w
- Capacidad entre 45 y 55 litros
- Cable de potencia con longitud mínima de 5m
- Accesorios mínimos: manguera puntera, 2 tubos para extensión, cepillos para tapizados</t>
  </si>
  <si>
    <t xml:space="preserve">ENTREGADO FACTURA MARZO </t>
  </si>
  <si>
    <t xml:space="preserve">VALOR  A COBRAR MARZO </t>
  </si>
  <si>
    <t xml:space="preserve">ENTREGADO  ABRIL </t>
  </si>
  <si>
    <t xml:space="preserve">Maquinaria completa </t>
  </si>
  <si>
    <t xml:space="preserve">Entrega y cobro en marzo </t>
  </si>
  <si>
    <t xml:space="preserve">Entrega en abril </t>
  </si>
  <si>
    <t xml:space="preserve">Valor a facturar marzo </t>
  </si>
  <si>
    <t>Fecha de entrega</t>
  </si>
  <si>
    <t>N° de Identificación</t>
  </si>
  <si>
    <t>Descripcion de Maquinaria</t>
  </si>
  <si>
    <t>Cant.</t>
  </si>
  <si>
    <t>N/A</t>
  </si>
  <si>
    <t>CARRO EXPRIMIDOR DE 35 LITROS</t>
  </si>
  <si>
    <t>ESCALERA METALICA DE 2 PASOS</t>
  </si>
  <si>
    <t>ESCALERA METALICA DE 5 PASOS</t>
  </si>
  <si>
    <t>MQ21 0310</t>
  </si>
  <si>
    <t>GRECA DE 60 TINTOS</t>
  </si>
  <si>
    <t>MQ21 0711</t>
  </si>
  <si>
    <t>MQ 0576</t>
  </si>
  <si>
    <t>LAVABRILLADORA DE 17"</t>
  </si>
  <si>
    <t>MQ 0253</t>
  </si>
  <si>
    <t>MQ21 0937</t>
  </si>
  <si>
    <t>MQ21 0078</t>
  </si>
  <si>
    <t>MQ 0817</t>
  </si>
  <si>
    <t>MQ21 0062</t>
  </si>
  <si>
    <t>MQ 0286</t>
  </si>
  <si>
    <t>LAVADORA DE ALFOMBRAS</t>
  </si>
  <si>
    <t>MQ 0126</t>
  </si>
  <si>
    <t>SOPLADORA DE HOJAS</t>
  </si>
  <si>
    <t>MQ21 0466</t>
  </si>
  <si>
    <t>BANDEJA ACERO INOXIDABLE 37X27</t>
  </si>
  <si>
    <t>BANDEJA ACERO INOXIDABLE 50X33</t>
  </si>
  <si>
    <t>GRECA DE 120 TINTOS</t>
  </si>
  <si>
    <t>HORNO MICROONDAS TIPO INDUSTRIAL</t>
  </si>
  <si>
    <t>MQ21 0609</t>
  </si>
  <si>
    <t>MQ22 0203</t>
  </si>
  <si>
    <t>GUADAÑA DE EJE RIGIDO</t>
  </si>
  <si>
    <t>MQ 0154</t>
  </si>
  <si>
    <t>MQ 0890</t>
  </si>
  <si>
    <t>MQ 0149</t>
  </si>
  <si>
    <t>MQ 0230</t>
  </si>
  <si>
    <t>MQ22 0250</t>
  </si>
  <si>
    <t>ESTUFA ELECTRICA DE 2 PUESTOS</t>
  </si>
  <si>
    <t>MQ 0685</t>
  </si>
  <si>
    <t>MQ22 0246</t>
  </si>
  <si>
    <t>MQ22 0221</t>
  </si>
  <si>
    <t>MQ22 0224</t>
  </si>
  <si>
    <t>MQ 0515</t>
  </si>
  <si>
    <t>MQ 0282</t>
  </si>
  <si>
    <t>MQ22 0248</t>
  </si>
  <si>
    <t>MQ22 0247</t>
  </si>
  <si>
    <t>MQ 22 0222</t>
  </si>
  <si>
    <t>MQ 0290</t>
  </si>
  <si>
    <t>MQ22 0227</t>
  </si>
  <si>
    <t>MQ22 0226</t>
  </si>
  <si>
    <t>MQ22 0245</t>
  </si>
  <si>
    <t>MQ22 0310</t>
  </si>
  <si>
    <t>ASPIRADORA CB60-2 60 LITROS</t>
  </si>
  <si>
    <t>MQ22 0212</t>
  </si>
  <si>
    <t>MQ22 0325</t>
  </si>
  <si>
    <t>MQ22 0240</t>
  </si>
  <si>
    <t>MQ22 0306</t>
  </si>
  <si>
    <t>MQ22 0324</t>
  </si>
  <si>
    <t>BRILLADORA DE ALTA REVOLUCION</t>
  </si>
  <si>
    <t>OLLETA EN ALUMINIO DE 2 LITROS</t>
  </si>
  <si>
    <t>CARRO DE BEBIDAS</t>
  </si>
  <si>
    <t xml:space="preserve">CARGO </t>
  </si>
  <si>
    <t xml:space="preserve">N° OPERARIOS </t>
  </si>
  <si>
    <t xml:space="preserve">Sede 1- Manzana Lievano </t>
  </si>
  <si>
    <t xml:space="preserve">TOTAL CONTRATADO </t>
  </si>
  <si>
    <t>Sede 1- Manzana Lievano -FALTANTE</t>
  </si>
  <si>
    <t xml:space="preserve">Sede 2-Arhivo Distrital </t>
  </si>
  <si>
    <t xml:space="preserve">Sede 2-Arhivo Distrital- FALTANTE </t>
  </si>
  <si>
    <t xml:space="preserve">Sede 3-Imprenta Distrital </t>
  </si>
  <si>
    <t xml:space="preserve">Sede 3-Imprenta Distrital  FALTANTE </t>
  </si>
  <si>
    <t xml:space="preserve">Sede 4-Edificio restrepo </t>
  </si>
  <si>
    <t xml:space="preserve">Sede 4-Edificio restrepo FALTANTE </t>
  </si>
  <si>
    <t>Sede 5-Super CADE CAD KR 30</t>
  </si>
  <si>
    <t xml:space="preserve">Sede 5-Super CADE CAD KR 30- FALTANTE </t>
  </si>
  <si>
    <t xml:space="preserve">Sede 6* SUPER CADE AMERICAS </t>
  </si>
  <si>
    <t xml:space="preserve">Sede 6- SUPER CADE AMERICAS - FALTANTE </t>
  </si>
  <si>
    <t xml:space="preserve">Sede 7 SUPER CADE BOSA </t>
  </si>
  <si>
    <t xml:space="preserve">Sede 7 SUPER CADE BOSA - FALTANTE </t>
  </si>
  <si>
    <t>Sede 8* SUPER CADE CALLE  13</t>
  </si>
  <si>
    <t xml:space="preserve">Sede 8* SUPER CADE CALLE  13 - FALTANTE </t>
  </si>
  <si>
    <t xml:space="preserve">Sede 9-SUPER CADE 20 DE JULIO </t>
  </si>
  <si>
    <t xml:space="preserve"> Sede 9-SUPER CADE 20 DE JULIO  - FALTANTE </t>
  </si>
  <si>
    <t xml:space="preserve">Sede 10-SUPER CADE MANITAS </t>
  </si>
  <si>
    <t xml:space="preserve">Sede 10-SUPER CADE MANITAS   - FALTANTE </t>
  </si>
  <si>
    <t xml:space="preserve">Sede 11-SUPER CADE SUBA </t>
  </si>
  <si>
    <t xml:space="preserve">Sede 11-SUPER CADE SUBA    - FALTANTE </t>
  </si>
  <si>
    <t xml:space="preserve">Sede 12-SUPER CADE SOCIAL </t>
  </si>
  <si>
    <t xml:space="preserve">Sede 12-SUPER CADE SOCIAL    - FALTANTE </t>
  </si>
  <si>
    <t xml:space="preserve">Sede 13-CADE SERVITA </t>
  </si>
  <si>
    <t xml:space="preserve">Sede 13-CADE SERVITA - FALTANTE </t>
  </si>
  <si>
    <t xml:space="preserve">Sede 14-CADE LA VICTORIA </t>
  </si>
  <si>
    <t xml:space="preserve">Sede 14-CADE LA VICTORIA  - FALTANTE </t>
  </si>
  <si>
    <t xml:space="preserve">Sede 15-CADE LA GAITANA </t>
  </si>
  <si>
    <t xml:space="preserve">Sede 15-CADE LA GAITANA  - FALTANTE </t>
  </si>
  <si>
    <t>Sede 16-ENGATIVA</t>
  </si>
  <si>
    <t xml:space="preserve">Sede 16-ENGATIVA - FALTANTE </t>
  </si>
  <si>
    <t xml:space="preserve">Sede 17-CADE LUCEROS </t>
  </si>
  <si>
    <t xml:space="preserve">Sede 17-CADE LUCEROS - FALTANTE </t>
  </si>
  <si>
    <t xml:space="preserve">Sede 18-CENTRO MEMORIA PAZ Y RECONCILIACION </t>
  </si>
  <si>
    <t xml:space="preserve">Sede 18-CENTRO MEMORIA PAZ Y RECONCILIACION  - FALTANTE </t>
  </si>
  <si>
    <t xml:space="preserve">Sede 19-Sede 19-CENTRO DE ENCUENTRO BOSA </t>
  </si>
  <si>
    <t xml:space="preserve">Sede 19-CENTRO DE ENCUENTRO BOSA    - FALTANTE </t>
  </si>
  <si>
    <t xml:space="preserve">Sede 20-CENTRO DE ENCUENTRO CHAPINERO </t>
  </si>
  <si>
    <t xml:space="preserve">Sede 20-CENTRO DE ENCUENTRO CHAPINERO    - FALTANTE </t>
  </si>
  <si>
    <t xml:space="preserve">Sede 21-CENTRO DE ENCUENTRO CIUDAD BOLIVAR </t>
  </si>
  <si>
    <t xml:space="preserve">Sede 21-CENTRO DE ENCUENTRO CIUDAD BOLIVAR - FALTANTE </t>
  </si>
  <si>
    <t xml:space="preserve">Sede 22-CENTRO DE ENCUENTRO PATIO BONITO </t>
  </si>
  <si>
    <t xml:space="preserve">Sede 22-CENTRO DE ENCUENTRO PATIO BONITO  - FALTANTE </t>
  </si>
  <si>
    <t xml:space="preserve">Sede 23-CENTRO DE ENCUENTRO RAFAL URIBE URIBE </t>
  </si>
  <si>
    <t>Sede 23-CENTRO DE ENCUENTRO RAFAL URIBE URIBE - FALTANTE</t>
  </si>
  <si>
    <t xml:space="preserve">Sede 24-CENTRO DE ENCUENTRO SUBA </t>
  </si>
  <si>
    <t>Sede 24-CENTRO DE ENCUENTRO SUBA  - FALTANTE</t>
  </si>
  <si>
    <t xml:space="preserve">Sede 25-SEDE TEQUENDAMA </t>
  </si>
  <si>
    <t>Sede 25-SEDE TEQUENDAMA - FALTANTE</t>
  </si>
  <si>
    <t>Operario de aseo y cafetería</t>
  </si>
  <si>
    <t>Operario de mantenimiento</t>
  </si>
  <si>
    <t>Operario auxiliar</t>
  </si>
  <si>
    <t>Jardinero</t>
  </si>
  <si>
    <t>Coordinador de tiempo completo</t>
  </si>
  <si>
    <t xml:space="preserve">TOTAL DE PERSONAL  A CONTRATAR </t>
  </si>
  <si>
    <t xml:space="preserve">TOTAL PERSONAS CONTRATADAS </t>
  </si>
  <si>
    <t xml:space="preserve">TOTAL FALTANTES </t>
  </si>
  <si>
    <t>SEDE</t>
  </si>
  <si>
    <t>CARGO</t>
  </si>
  <si>
    <t>CEDULA</t>
  </si>
  <si>
    <t>NOMBRE DEL EMPLEADO</t>
  </si>
  <si>
    <t xml:space="preserve">FEC ING </t>
  </si>
  <si>
    <t>ZONAS</t>
  </si>
  <si>
    <t>CADE LA VICTORIA</t>
  </si>
  <si>
    <t>PESTANA HURTADO MARELIS</t>
  </si>
  <si>
    <t>ZONA CENTRO</t>
  </si>
  <si>
    <t>ROJAS TORRES GREYDI NIVARDO</t>
  </si>
  <si>
    <t>TREMONT YERUBBYANNIS PATRICIA</t>
  </si>
  <si>
    <t>SUPERCADE 20 DE JULIO</t>
  </si>
  <si>
    <t>CATUCHE PIAMBA LUZ MARINA</t>
  </si>
  <si>
    <t xml:space="preserve">CIFUENTES MARTINEZ DIANA MARIA </t>
  </si>
  <si>
    <t xml:space="preserve">FLOREZ CONTRERAS ELENA MARIA </t>
  </si>
  <si>
    <t>MEDINA CASTRO PEDRO ANTONIO</t>
  </si>
  <si>
    <t>ORTIZ PANESSO LAURA YURANIS</t>
  </si>
  <si>
    <t>ZAPATA CAMACHO NUBIA AMPARO</t>
  </si>
  <si>
    <t>CENTRO DE ENCUENTRO RAFAEL URIBE URIBE</t>
  </si>
  <si>
    <t>ARAQUE SILVA MIRYAM</t>
  </si>
  <si>
    <t>LOZANO MANRIQUE JAIDY</t>
  </si>
  <si>
    <t>MADRIGAL DIAZ LUIS ENRIQUE</t>
  </si>
  <si>
    <t>CASTRO VALLECILLA ANYI PATRICIA</t>
  </si>
  <si>
    <t xml:space="preserve">CENTRO MEMORIA </t>
  </si>
  <si>
    <t>CERQUERA PARRA GINA ALEJANDRA</t>
  </si>
  <si>
    <t xml:space="preserve">LADINO ARDILA DAMARIS </t>
  </si>
  <si>
    <t xml:space="preserve">LOZANO ORTEGA ANGELA VIVIANA </t>
  </si>
  <si>
    <t>ORTIZ ORTEGA TIVISAY KATERINE</t>
  </si>
  <si>
    <t>RODRIGUEZ ALVAREZ JHON EDISON</t>
  </si>
  <si>
    <t>JARDINERO</t>
  </si>
  <si>
    <t>SANDOVAL PRENS YONATAN JAVIER</t>
  </si>
  <si>
    <t>TORRES ANGEL JOSE MANUEL</t>
  </si>
  <si>
    <t>TEQUENDAMA</t>
  </si>
  <si>
    <t>CARDENAS SIERRA ANGELA VIVIANA</t>
  </si>
  <si>
    <t>IGLESIAS BARRIOS YERIBETH</t>
  </si>
  <si>
    <t>SUPERCADE CAD 30</t>
  </si>
  <si>
    <t>ALARCON RODRIGUEZ NOHORA EDITH</t>
  </si>
  <si>
    <t>BRICEÑO MEZA YIBEIXY</t>
  </si>
  <si>
    <t xml:space="preserve">CAMARGO ALBA BLANCA ESTRELLA </t>
  </si>
  <si>
    <t>MARTINEZ CICHACA JOSEFINA</t>
  </si>
  <si>
    <t xml:space="preserve">MONTOYA HERNANDEZ PAOLA ANDREA </t>
  </si>
  <si>
    <t>OROZCO MEDINA MARTHA ROCIO</t>
  </si>
  <si>
    <t xml:space="preserve">RAMIREZ PALACIOS LUZ MAYERLY </t>
  </si>
  <si>
    <t>RODRIGUEZ FORERO LUZ AURORA</t>
  </si>
  <si>
    <t>SUAREZ CUCAITA BENJAMIN</t>
  </si>
  <si>
    <t>PEREIRA CAMPOS ANYUL STEFANNY</t>
  </si>
  <si>
    <t>BENAVIDES NAVARRO YESENIA</t>
  </si>
  <si>
    <t>SUPERCADE CALLE 13</t>
  </si>
  <si>
    <t xml:space="preserve">BARBOSA HERRERA DIANA MILENA </t>
  </si>
  <si>
    <t xml:space="preserve">CAMARGO HERNANDEZ LUISA FERNANDA </t>
  </si>
  <si>
    <t>GARZON FLOREZ SANDRA PATRICIA</t>
  </si>
  <si>
    <t>SUPERVISOR</t>
  </si>
  <si>
    <t>AREVALO CASTELLANOS CRISTIAN ARLEY</t>
  </si>
  <si>
    <t>CADE LA GAITANA</t>
  </si>
  <si>
    <t>ROJAS OBANDO LUIS ALFREDO</t>
  </si>
  <si>
    <t>ZONA NORTE</t>
  </si>
  <si>
    <t>GOMEZ RODRIGUEZ MARISOL</t>
  </si>
  <si>
    <t>HERNANDEZ VARGAS AURIS ESTELLA</t>
  </si>
  <si>
    <t>CADE SERVITA</t>
  </si>
  <si>
    <t>GIRALDO LOPEZ LUZ ESTELLA</t>
  </si>
  <si>
    <t>DIAZ RIVERA LORENA PATRICIA</t>
  </si>
  <si>
    <t>CENTRO DE ENCUENTRO CHAPINERO</t>
  </si>
  <si>
    <t>REY PARDO YUDI JASBLEIDI</t>
  </si>
  <si>
    <t xml:space="preserve">ROMERO CARO YONATHAN </t>
  </si>
  <si>
    <t>SUAREZ PULIDO MADYURI</t>
  </si>
  <si>
    <t>RODRIGUEZ BERNAL FLOR MARINA</t>
  </si>
  <si>
    <t>CENTRO DE ENCUENTRO SUBA</t>
  </si>
  <si>
    <t>BERMUDEZ MARTINEZ JENNY KIMBERLY</t>
  </si>
  <si>
    <t>CARDENAS FALON NELSY XIOMARA</t>
  </si>
  <si>
    <t>SUPERCADE ENGATIVA</t>
  </si>
  <si>
    <t>ALVAREZ ALVAREZ YENI MARITZA</t>
  </si>
  <si>
    <t>PORTELA CANIZALES DIANA MILENA</t>
  </si>
  <si>
    <t>GOMEZ MARTHA RUBIELA</t>
  </si>
  <si>
    <t>QUELAL RUIZ DIEGO MARIN</t>
  </si>
  <si>
    <t>QUINTERO YENNY KATHERINE</t>
  </si>
  <si>
    <t>SUPERCADE SOCIAL</t>
  </si>
  <si>
    <t>GARCIA FONSECA SANDRA LILIANA</t>
  </si>
  <si>
    <t xml:space="preserve">SUPERCADE SUBA </t>
  </si>
  <si>
    <t xml:space="preserve">GUERRERO CHISABA ADRIANA ROCIO </t>
  </si>
  <si>
    <t>JARAMILLO TOBON SIRLEY ADRIANA</t>
  </si>
  <si>
    <t>TAPIERO GONZALEZ YULY ANDREA</t>
  </si>
  <si>
    <t>TORRES GIRALDO JAIRO HERNAN</t>
  </si>
  <si>
    <t>VELAZQUEZ ALVAREZ YULIS YUNITH</t>
  </si>
  <si>
    <t>GOMEZ SANCHEZ ANDERSON</t>
  </si>
  <si>
    <t>GARCIA ROJAS ROSALBA</t>
  </si>
  <si>
    <t>ZAMORA QUINTERO AMALIA</t>
  </si>
  <si>
    <t>SANCHEZ GONZALEZ ANGELA IVONNE</t>
  </si>
  <si>
    <t>INFANTE CASTRO DANIEL</t>
  </si>
  <si>
    <t>MANZANA LIEVANO</t>
  </si>
  <si>
    <t>FULA VALBUENA YANETH ESPERANZA</t>
  </si>
  <si>
    <t>SEDES CENTRALES</t>
  </si>
  <si>
    <t>ANGULO GARCIA MAIRA LICETH</t>
  </si>
  <si>
    <t>ARIAS JIMENEZ YEIMI ANDREA</t>
  </si>
  <si>
    <t>ASPRILLA LONDOÑO ROSAURA</t>
  </si>
  <si>
    <t>BARRETO PEREZ MARIA</t>
  </si>
  <si>
    <t>BEDOYA GUZMAN DAISSY</t>
  </si>
  <si>
    <t>BENAVIDES ALEXANDRA</t>
  </si>
  <si>
    <t>BERMUDEZ HIGUITA LUZ MARABEDY</t>
  </si>
  <si>
    <t>BERNAL PARRA NOHORA ESTELLA</t>
  </si>
  <si>
    <t xml:space="preserve">CAMPOS CARDOSO JULIANA PAOLA </t>
  </si>
  <si>
    <t>CARRILLO ESPINOSA LAURA MARCELA</t>
  </si>
  <si>
    <t>CASTELLANOS SARMIENTO ANGUIE LIZETH</t>
  </si>
  <si>
    <t>CASTRO GUTIEREZ RUTH MARINELA</t>
  </si>
  <si>
    <t>CHAPARRO MORA GLORIA EZPERANZA</t>
  </si>
  <si>
    <t>CORTES MURCIA DIOMAR</t>
  </si>
  <si>
    <t>DE LA CRUZ RIVERA SOMARY</t>
  </si>
  <si>
    <t>HURTADO PRADA SERGIO ALEXANDER</t>
  </si>
  <si>
    <t xml:space="preserve">LOAIZA PERDOMO MARITZA </t>
  </si>
  <si>
    <t xml:space="preserve">LOPEZ DORIA PEDRO ANTONIO </t>
  </si>
  <si>
    <t>NUÑEZ GARCIA YULI LEYDI</t>
  </si>
  <si>
    <t xml:space="preserve">PALMED HUERTA MARIA FERNANDA </t>
  </si>
  <si>
    <t>PUENTES ROSA</t>
  </si>
  <si>
    <t>RAMIREZ TORRES PAOLA ANDREA</t>
  </si>
  <si>
    <t>REVOLLO MERCADO CINDY</t>
  </si>
  <si>
    <t xml:space="preserve">RUNZA  SEGURA AURORA </t>
  </si>
  <si>
    <t>RUSSI MORENO MARGARET</t>
  </si>
  <si>
    <t xml:space="preserve">SACRISTAN GONZALES ROSA ELVIRA </t>
  </si>
  <si>
    <t>SUSPES LOPEZ DEICY</t>
  </si>
  <si>
    <t>TIBAQUIRA MARIA ISABEL</t>
  </si>
  <si>
    <t>TRIVIÑO SUAREZ LUZ HEYDI</t>
  </si>
  <si>
    <t>VELASCO RODRIGUEZ LADY KARINA</t>
  </si>
  <si>
    <t>VILORIA JAKELINE DEL CARMEN</t>
  </si>
  <si>
    <t>OPERARIO DE MANTENIMIENTO</t>
  </si>
  <si>
    <t>ACEVEDO BOHORQUEZ SAMUEL DAVID</t>
  </si>
  <si>
    <t>ALARCON MARINO JULIO CESAR</t>
  </si>
  <si>
    <t xml:space="preserve">FUENTES BALDOVINO JORGE LUIS </t>
  </si>
  <si>
    <t>GIRALDO CARRILLO JAIRO ALFONSO</t>
  </si>
  <si>
    <t xml:space="preserve">GOMEZ VIVERO CARLOS MARIO </t>
  </si>
  <si>
    <t xml:space="preserve">MORALES CHAVEZ JOSE DAVID </t>
  </si>
  <si>
    <t xml:space="preserve">RINCON ROJAS PEDRO ANTONIO </t>
  </si>
  <si>
    <t>TORRES CASTRO JERSON ESTIVEN</t>
  </si>
  <si>
    <t>CITA MARTINEZ ORLANDO</t>
  </si>
  <si>
    <t>SEDE ALTERNA RESTREPO</t>
  </si>
  <si>
    <t xml:space="preserve">AVILA ADRIANA  MILENA </t>
  </si>
  <si>
    <t xml:space="preserve">TOCA RINCON DIANA CAROLINA </t>
  </si>
  <si>
    <t>ARCHIVO DISTRITAL</t>
  </si>
  <si>
    <t>ALFONSO YENNIFER</t>
  </si>
  <si>
    <t>BOCANEGRA YESIKA</t>
  </si>
  <si>
    <t>GOMEZ LEMUS ROSIRIS MARILIS</t>
  </si>
  <si>
    <t xml:space="preserve">GOMEZ OQUENDO LUNA VALENTINA </t>
  </si>
  <si>
    <t>HIDALGO LOPEZ MARIA FERNANDA</t>
  </si>
  <si>
    <t>MARROQUIN GALEANO ELIZABETH</t>
  </si>
  <si>
    <t>MURILLO MANRIQUE LAURA VANESA</t>
  </si>
  <si>
    <t xml:space="preserve">ORJUELA DELGADILLO YIZETH PAOLA </t>
  </si>
  <si>
    <t>RAMIREZ MENDEZ OLGA LUCIA</t>
  </si>
  <si>
    <t>CAICEDO EDGAR</t>
  </si>
  <si>
    <t xml:space="preserve">BOSCAN GAMARRA ANGEL ARMANDO </t>
  </si>
  <si>
    <t>UMAÑA SANCHEZ JHON FREDY</t>
  </si>
  <si>
    <t>VILLAREAL ROYER JULIO ABEL</t>
  </si>
  <si>
    <t>IMPRENTA</t>
  </si>
  <si>
    <t>BAENA FONTALVO YORBIS JOSE</t>
  </si>
  <si>
    <t>RUBIO HERRERA WILLIAM ALEJANDRO</t>
  </si>
  <si>
    <t>CHIPATECUA CUBILLOS CESAR ARTURO</t>
  </si>
  <si>
    <t>LOPEZ SANCHEZ MARIA DEL PILAR</t>
  </si>
  <si>
    <t>TURMEQUE BERNAL HEYDI PAOLA</t>
  </si>
  <si>
    <t>SUPERCADE AMERICAS</t>
  </si>
  <si>
    <t>BUITRAGO BOBADILLA ANA ODILIA</t>
  </si>
  <si>
    <t>ZONA  SUR</t>
  </si>
  <si>
    <t>GOMEZ ORTIZ GERALDINE</t>
  </si>
  <si>
    <t>LARA PINZON DIANA MARCELA</t>
  </si>
  <si>
    <t>VARGAS NIÑO YANETH PATRICIA</t>
  </si>
  <si>
    <t>AREVALO MEDINA MARIA GLADIS</t>
  </si>
  <si>
    <t>SUPERCADE BOSA</t>
  </si>
  <si>
    <t>NAVARRO ARRIETA LICENIA</t>
  </si>
  <si>
    <t>LOPEZ GUTIERREZ LUZ MERY</t>
  </si>
  <si>
    <t>PANCHE SERNA ADRIANA MARIA</t>
  </si>
  <si>
    <t>VALDERRAMA CABRERA NATALY</t>
  </si>
  <si>
    <t xml:space="preserve">ORTIZ DIAZ BELLAMIRA </t>
  </si>
  <si>
    <t>RAMIREZ PERDOMO ANGELA</t>
  </si>
  <si>
    <t>SUPERCADE MANITAS</t>
  </si>
  <si>
    <t>MUÑOZ QUINTERO GLORIA ESPERANZA</t>
  </si>
  <si>
    <t>ARDILA PULIDO JEIMMY CAROLINA</t>
  </si>
  <si>
    <t xml:space="preserve">OPERARIA DE ASEO Y CAFETERIA </t>
  </si>
  <si>
    <t>ALARCON URA MINI JOHANA</t>
  </si>
  <si>
    <t>ROMERO ROMERO SONIA EMILCE</t>
  </si>
  <si>
    <t>BOTIA AVILA MARIA CONSUELO</t>
  </si>
  <si>
    <t xml:space="preserve">OPERARIO DE MANTENIMIENTO </t>
  </si>
  <si>
    <t>PERALTA GUTIERREZ OSCAR HUMBERTO</t>
  </si>
  <si>
    <t>PEÑA CUELLAR JAIRO ALEXIS</t>
  </si>
  <si>
    <t>RAMIREZ GUZMAN ANGIE CAROLINA</t>
  </si>
  <si>
    <t>ULLOA ACOSTA DIANA PATRICIA</t>
  </si>
  <si>
    <t>CADE LOS LUCEROS</t>
  </si>
  <si>
    <t xml:space="preserve">PUENTES CORREDOR DORA </t>
  </si>
  <si>
    <t>LOZANO OCHOA GLADYS STELLA</t>
  </si>
  <si>
    <t xml:space="preserve"> OPERARIA DE ASEO Y CAFETERIA </t>
  </si>
  <si>
    <t>LEON GLORIA ESPERANZA</t>
  </si>
  <si>
    <t>LONDOÑO VILLEGAS EDILSON</t>
  </si>
  <si>
    <t>LOPEZ ALDANA KAREN YULIE</t>
  </si>
  <si>
    <t>CANABRIA MACHUCA MIGUEL ANTONIO</t>
  </si>
  <si>
    <t>MALDONADO GUTIERREZ JESSICA ANDREA</t>
  </si>
  <si>
    <t>ALVAREZ AGURRE ERIKA LILIANA</t>
  </si>
  <si>
    <t>CADE PATIO BONITO</t>
  </si>
  <si>
    <t>HERNANDEZ LUNA MARIBEL</t>
  </si>
  <si>
    <t>ZONA SUR</t>
  </si>
  <si>
    <t>RECURSO HUMANO</t>
  </si>
  <si>
    <t>OBSERVACIONES</t>
  </si>
  <si>
    <t>INSUMOS</t>
  </si>
  <si>
    <t>MAQUINARIA</t>
  </si>
  <si>
    <t xml:space="preserve">entrega </t>
  </si>
  <si>
    <t>CE Bosa</t>
  </si>
  <si>
    <t>CE Ciudad Bolivar</t>
  </si>
  <si>
    <t>CEPILLO DURO</t>
  </si>
  <si>
    <t>CEPILLO SUAVE</t>
  </si>
  <si>
    <t>PORTA PAD</t>
  </si>
  <si>
    <t>CADE Luceros</t>
  </si>
  <si>
    <t>CE Chapinero</t>
  </si>
  <si>
    <t>Tequendama</t>
  </si>
  <si>
    <t>Centro memoria</t>
  </si>
  <si>
    <t>Imprenta</t>
  </si>
  <si>
    <t>CEPILLO DURO 17"</t>
  </si>
  <si>
    <t>CEPILLO SUAVE 17"</t>
  </si>
  <si>
    <t>PORTA PAD 17"</t>
  </si>
  <si>
    <t>Restrepo</t>
  </si>
  <si>
    <t>Lievano</t>
  </si>
  <si>
    <t>Archivo</t>
  </si>
  <si>
    <t>Valor unitario</t>
  </si>
  <si>
    <t>Valor a pagar marzo</t>
  </si>
  <si>
    <t>Valor dia</t>
  </si>
  <si>
    <t>CADE La Victoria</t>
  </si>
  <si>
    <t>Pago seguridad social</t>
  </si>
  <si>
    <t>BECERRA VALENCIA YULILEIDI</t>
  </si>
  <si>
    <t>CHAMORRO OSPINO EMILI PAOLA</t>
  </si>
  <si>
    <t>CUERVO CONVERS ANGEL EDUARDO</t>
  </si>
  <si>
    <t>DIAZ BUITRAGO JOSE FERNANDO</t>
  </si>
  <si>
    <t>MARIN OCAMPO YAMILE</t>
  </si>
  <si>
    <t>MARTINEZ HERNANDEZ MARITZA</t>
  </si>
  <si>
    <t>PALACIOS ESCOBAR LEIDY JOHANNA</t>
  </si>
  <si>
    <t>SOLANO ANAYA LUZ ESTELA</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</si>
  <si>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</si>
  <si>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</si>
  <si>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</si>
  <si>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</si>
  <si>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</si>
  <si>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</si>
  <si>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</si>
  <si>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</si>
  <si>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</si>
  <si>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</si>
  <si>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</si>
  <si>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</si>
  <si>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</si>
  <si>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</si>
  <si>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</si>
  <si>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</si>
  <si>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</si>
  <si>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</si>
  <si>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</si>
  <si>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</si>
  <si>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</si>
  <si>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</si>
  <si>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</si>
  <si>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</si>
  <si>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</si>
  <si>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Dias a pagar</t>
  </si>
  <si>
    <t>Valor total</t>
  </si>
  <si>
    <t xml:space="preserve">TOTAL    </t>
  </si>
  <si>
    <t>CE Rafael Uribe</t>
  </si>
  <si>
    <t>CE Patio Bonito</t>
  </si>
  <si>
    <t>pago nomina</t>
  </si>
  <si>
    <t>banco y fecha pago</t>
  </si>
  <si>
    <t>BANCOLOMBIA 26/03/2024</t>
  </si>
  <si>
    <t>BANCO CAJA SOCIAL</t>
  </si>
  <si>
    <t>DAVIVIENDA 26/03/2024</t>
  </si>
  <si>
    <t>SCOTIABANK 27/03/2024</t>
  </si>
  <si>
    <t xml:space="preserve">BEDOYA ALVARES SANDRA MILENA </t>
  </si>
  <si>
    <t>IBC Seguridad social</t>
  </si>
  <si>
    <t>Valor pagado al trabajador</t>
  </si>
  <si>
    <t>CUADROS VALDERRAMA FRANCEID</t>
  </si>
  <si>
    <t xml:space="preserve">FLOREZ QUIROGA LUZ MILA </t>
  </si>
  <si>
    <t>FUQUENE CAÑON SANDRA YAMILE</t>
  </si>
  <si>
    <t>GUAYARA MOSCOSO MARIS MELDA</t>
  </si>
  <si>
    <t>GUERRERO BETANCOURT PAOLA ANDREA</t>
  </si>
  <si>
    <t>LEON ESCOBAR LEYDY YOANA</t>
  </si>
  <si>
    <t>PERALTA GUTIERREZ MARIA SANDRA</t>
  </si>
  <si>
    <t xml:space="preserve">PULIDO GONZALEZ BERTULIO </t>
  </si>
  <si>
    <t>RAMIREZ EPIEYU YENIS DEL CARMEN</t>
  </si>
  <si>
    <t>RAMOS BUITRAGO DORIS JANNETH</t>
  </si>
  <si>
    <t>RIPE VALENCIANO JORGE ANDRES</t>
  </si>
  <si>
    <t>SOTO BARRIOS ANA MERCEDEZ</t>
  </si>
  <si>
    <t xml:space="preserve">VILLAREAL ROYER DAIRON JOSE </t>
  </si>
  <si>
    <t>AREVALO LUZ MYRELLA</t>
  </si>
  <si>
    <t>CETINA LIBERATO DIEGO ALEXANDER</t>
  </si>
  <si>
    <t>DE LA ESPRIELLA BUELVAS JORGE LUIS</t>
  </si>
  <si>
    <t>DUARTE PINZON JULIO ADOLFO</t>
  </si>
  <si>
    <t>FLOREZ DIAZ FLOR MARIA</t>
  </si>
  <si>
    <t>GARCIA VANEGAS FLOR</t>
  </si>
  <si>
    <t>GUERRERO RAMIREZ JORGE IVAN</t>
  </si>
  <si>
    <t>LAGOS MONTIEL JUAN CARLOS</t>
  </si>
  <si>
    <t>LUNA RAMOS WILLIAM MANUEL</t>
  </si>
  <si>
    <t>MARTIN DAVID STIVEN</t>
  </si>
  <si>
    <t>MATALLANA MONROY ASCENCION</t>
  </si>
  <si>
    <t>MERCADO ELLES JESUS EDUARDO</t>
  </si>
  <si>
    <t>MORENO BAQUERO HERNAN</t>
  </si>
  <si>
    <t>PEÑA TRONCOSO BRAYAN RICARDO</t>
  </si>
  <si>
    <t>PEREZ PEREZ ANGEL GREGORIO</t>
  </si>
  <si>
    <t>PEREZ HERNANDEZ SUSAN KATHERINE</t>
  </si>
  <si>
    <t>RODRIGUEZ HIGUERA RUDY ALEXANDER</t>
  </si>
  <si>
    <t>SANCHEZ TORRES DIEGO ARMANDO</t>
  </si>
  <si>
    <t>SANCHEZ NOVA GLORIA CRISTINA</t>
  </si>
  <si>
    <t>TORRES TRIANA HERNANDO</t>
  </si>
  <si>
    <t>BANCOLOMBIA 30/04/2024</t>
  </si>
  <si>
    <t>DAVIVIENDA 30/04/2024</t>
  </si>
  <si>
    <t>AVVILLAS 30/04/2024</t>
  </si>
  <si>
    <t>BBVA 30/04/2024</t>
  </si>
  <si>
    <t>SCOTIABANK 30/04/2024</t>
  </si>
  <si>
    <t>BANCO DE BOGOTA 30/04/2024</t>
  </si>
  <si>
    <t>DAVIVIENDA 06/05/2024</t>
  </si>
  <si>
    <t>DAVIVIENDA 07/05/2024</t>
  </si>
  <si>
    <t>pendiente la entrega de herramienta para jardineria</t>
  </si>
  <si>
    <t>falta la aspiradora, los avisos preventivos, los termos y el carro repartidor de los tintos muy pequeño para el trafico que se realiza se ha tratado de caer en tres ocasiones</t>
  </si>
  <si>
    <t>En el cumplido la X esta en No cumplio en el recurso humano. Insumos dice: parcialmente, el pedido no llego completo y hubo faltantes. Maquinaria dice: Faltan canecas y las brilladores son de 220 voltios y no se pueden utilizar en el punto</t>
  </si>
  <si>
    <t>Insumos dice: Algunos insumos no llegaron con el pedido, llegaron el dia 17 de abril y otros los enviaron desde nivel central. En maquinaria dice: Para el buen funcionamiento del Centro de Encuentro en materia de aseo y cafeteria se requieren que nos suministren los siguientes elementos: 1. Cuatro valdes. 2. Dos bandejas grandes. 3. Una manguera de 50 m. 4. Seis avisos de prevencion. 5. Cinco dispensadores de jabon para manos. 6. Una extension electrica para el uso de la lava brilladora. En jardineria dice: El dia 27 de abril ingreso el señor Yonatan Javier Sandoval Prens para realizar trabajos de jardineria, pero no realizo ninguna actividad al respecto, aduciendo que no contaba con herramientas para tal fin. NOTA: Se sugiere que cuando realicen cambios del personal de servicios generales nos avisen y que no se hagan de manera subita ya que esto genera demoras en la prestacion del servicio ya que los operarios deben capacitar al personal nuevo en momentos que los operarios tienen muchas actividades que realizar }</t>
  </si>
  <si>
    <t>el operador de mantenimiento presta sus servicios los dias: Lunes, Miercoles y viernes</t>
  </si>
  <si>
    <t xml:space="preserve">Insumos dice: Los insumos fueron entregado por el Centro de Encuentro Kennedy. Maquinaria dice que no cumplio: No se entregado maquinaria al punto. NOTA: Para el periodo reportado, aun no se cuenta con los siguientes elementos para la operación en el punto: 1 horno microondas, 1 Greca, 1 Lavabrilladora, 1 Extension de 30 metros, 1 Carro exprimidor, Señales Peatonales de Prevencion y Atencion, Dispensador de Jabon de Manos </t>
  </si>
  <si>
    <t>En recurso humano dice que cumplio parcialmente: 1. Se conto con el apoyo de un operario de mantenimiento a partir del 16 de abril de 2024, para el Centro de Encuentri Bosa estan asignados dos operarios de mantenimiento, hasta la fecha de esta certificacion, no ha llegado el operario faltante. 2. Hasta el dia 23 de abril de 2024 se conto con el apoyo unicamente de dos operarios de aseo y cafeteria, a partir del dia 24 de abril de 2024 llego una operaria de apoyo de aseo y cafeteria, segun asignacion de personal para el Centro de Encuentro Bosa</t>
  </si>
  <si>
    <t>LA MAQUINARIA ES COMPARTIDA CON EL CADE PATIO BONITO, SEGÚN INSTRUCCIÓN DE LA SUBDIRECCIÓN DE SERVICIOS ADMINSTRATIVOS</t>
  </si>
  <si>
    <t>En maquinaria dice: El 1 de abril de 2024, se recibió la maquinaria, pero quedó pendiente la brilladora, avisos preventivos, escalera de 6 pasos y canecas para los baños y a la fecha no han sido recibidos esos insumos. NOTA: Las 4 personas de aseo y cafetería y el todero ingresaron a partir del 18 de marzo. Cabe anotar que en el periodo certificado, no hubo un segundo todero, como lo contempla el contrato, por eso se llena como no cumplió en este ítem, Sí ha habido una operaria adicional desde la tercera semana del mes, quien reemplaza a este funcionario.</t>
  </si>
  <si>
    <t>En maquinaria dice: Está pendiente la entrega de la Lavabrilladora y avisos de precaución. NOTA: Para el mes de abril de 2024, aún está pendiente la asignación de un operario de Mantenimiento, por lo tanto en este mes solo se contó con un operario, de los 2 que deben estar asignados</t>
  </si>
  <si>
    <t xml:space="preserve">en maquinaria dice: CUMPLIO PACIALMENTE, FALTAN LOS SIGUIENTE ELEMENTOS, 10 CANECAS PARA BAÑO, 3 BANDEJAS PARA SERVIR, 6 SEÑALES PREVENTIVAS, 1 BRILLADORA, 1 ESCALERA DE 6 PASOS, 1 MANGUERA DE 50 METROS, 1 EXTENSION ELECTRICA DE 30 MT, 3 DISPENSADORES DE PAPEL Y UN CARRO EXPRIMIDOR. NOTA: EL EQUIPO NO ESTA COMPLETO, DE LOS DOS TODEROS HACE FALTA UNO TODAVIA. EL QUE HACE PRESENCIA EN EL PUNTO LLEGO EL 16-04-2024, Y DESDE EL 18 DE MARZO FALTABA EL PERSONAL DE MANTENIMIENTO
</t>
  </si>
  <si>
    <t>Cantidad Mensual</t>
  </si>
  <si>
    <t>Precio unitario</t>
  </si>
  <si>
    <t>Precio Mínimo</t>
  </si>
  <si>
    <t>Descuento sobre precio mínimo</t>
  </si>
  <si>
    <t>Jardineria mt2</t>
  </si>
  <si>
    <t>Servicio especializado de jardinería en metros cuadrados.</t>
  </si>
  <si>
    <t>Metros cuadrados</t>
  </si>
  <si>
    <t>Jabón para loza 1 (Compra)</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</si>
  <si>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</si>
  <si>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</si>
  <si>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Jabón para loza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</si>
  <si>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</si>
  <si>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Líquido, en recipiente plástico de mínimo 500 ml</t>
  </si>
  <si>
    <t>Jabón para loza 3 (Compra)</t>
  </si>
  <si>
    <t xml:space="preserve"> - Con agente(s) tensoactivo(s) principal(es) con efecto limpiador y desengrasante en una concentración mínima del 15%.
 - Disponible en mínimo (2) dos fragancias
- El envase debe estar correctamente etiquetados bajo los parámetros establecidos en el sistema globalmente armonizado (Decreto 1496 de 2018) indicando: nombre comercial del producto, pictogramas de los compuestos peligrosos si aplica e instrucciones de uso.
- Debe contener concentraciones de fósforo iguales o inferiores a 0.65% de fósforo (Resolución 0689 de 2016)</t>
  </si>
  <si>
    <t>Crema, en recipiente plástico de mínimo 850 g</t>
  </si>
  <si>
    <t>Jabón para loza 4 (Compra)</t>
  </si>
  <si>
    <t>- Con agente(s) tensoactivo(s) con efecto limpiador y desengrasante. 
- Disponible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Con etiqueta de amigable con el ambiente
- Debe contener concentraciones de fósforo iguales o inferiores a 0.65% de fósforo (Resolución 0689 de 2016)</t>
  </si>
  <si>
    <t>Crema, en recipiente plástico de mínimo 1000 g</t>
  </si>
  <si>
    <t>Jabón en barra (Compra)</t>
  </si>
  <si>
    <t>Composición de ácidos grasos de mínimo 50%.
 Debe contener concentraciones de fósforo iguales o inferiores a 0.65% de fósforo (Resolución 0689 de 2016)</t>
  </si>
  <si>
    <t>Barra, unidad con peso mínimo de 250 g en
envoltura individual</t>
  </si>
  <si>
    <t>Jabón en barra azul (Compra)</t>
  </si>
  <si>
    <t>- Todo tipo de uso
- Biodegradable
- No debe contener PVC o Poliestireno expandido u otros plásticos de un solo uso tanto en el envase como en el embalaje.
- Debe contener concentraciones de fósforo iguales o inferiores a 0.65% de fósforo (Resolución 0689 de 2016)</t>
  </si>
  <si>
    <t>Jabón abrasivo (Compra)</t>
  </si>
  <si>
    <t>Con agente(s) tensoactivo(s) pincipal(es) con efecto limpiador, pulidor y desengrasante
 Con agente activo mínimo del 5%
 Debe contener concentraciones de fósforo iguales o inferiores a 0.65% de fósforo (Resolución 0689 de 2016)</t>
  </si>
  <si>
    <t>En polvo, en tarro de mínimo 500 g</t>
  </si>
  <si>
    <t>Jabón de tocador 1 (Compra)</t>
  </si>
  <si>
    <t xml:space="preserve"> - Elaborado con grasas vegetales
 - Con agente humectante
 - pH modificar entre PH 5,5 a 7
 - Disponible en mínimo (2) dos fragancias
 - Debe estar  correctamente etiquetados bajo los parámetros indicando: nombre comercial del producto, pictogramas de los compuestos peligrosos e instrucciones de uso
- Debe contener concentraciones de fósforo iguales o inferiores a 0.65% de fósforo (Resolución 0689 de 2016)</t>
  </si>
  <si>
    <t>Barra, unidad con peso mínimo de 125 g en envoltura individual</t>
  </si>
  <si>
    <t>Jabón de tocador 2 (Compra)</t>
  </si>
  <si>
    <t>- Jabón de tocador para manos en espuma
- Líquido para manos en bolsa para dispensador spray y con boquilla especial de dispensador
- Tapa tipo válvula, para dispensador, antibacterial y antiséptico 
- Con agente limpiador en una concentración mínima del 6%
- Con agente humectante en una concentración mínima del 3%
- Disponible en múltiples fragancias
- Producto biodegradable basado en ingredientes orgánicos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
- Debe contener concentraciones de fósforo iguales o inferiores a 0.65% de fósforo (Resolución 0689 de 2016)</t>
  </si>
  <si>
    <t>Líquido, en bolsa  con capacidad mínima de 800 ml</t>
  </si>
  <si>
    <t>Jabón de dispensador para manos 1 (Compra)</t>
  </si>
  <si>
    <t>- Con agente limpiador en una concentración mínima del 6%
- Con agente humectante en una concentración mínima del 3%
- pH entre 5,5 a 7
- Disponible en mínimo (2) dos fragancias
- Debe contener concentraciones de fósforo iguales o inferiores a 0.65% de fósforo (Resolución 0689 de 2016)</t>
  </si>
  <si>
    <t>Líquido, en recipiente plástico con dispensador y capacidad mínima de 500 ml</t>
  </si>
  <si>
    <t>Jabón de dispensador para manos 2 (Compra)</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</si>
  <si>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</si>
  <si>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Jabón de dispensador para manos 3 (Compra)</t>
  </si>
  <si>
    <t>- Con agente limpiador en una concentración mínima del 6%.
- Con agente antibacterial en una concentración mínima del 0,2%
- Con agente humectante en una concentración mínima del 3%
- pH entre 5,5 a 7
- Disponible en mínimo (2) dos fragancias
- Debe contener concentraciones de fósforo iguales o inferiores a 0.65% de fósforo (Resolución 0689 de 2016)</t>
  </si>
  <si>
    <t>Gel antibacterial para manos (Compra)</t>
  </si>
  <si>
    <t>- Con agente antibacterial en una concentración mínima del 0,2%
- Con agente humectante
- pH entre 5, 5 a 7
- Con fragancia</t>
  </si>
  <si>
    <t>Gel, en recipiente plástico con capacidad mínima de 3.785 ml</t>
  </si>
  <si>
    <t>Dispensador de gel antibacterial para manos (Compra)</t>
  </si>
  <si>
    <t>- Material: Plástico
- Tipo de instalación: De pared
- Incluye Chazos y tornillos
- Con visor para determinar el nivel del líquido
- Con ventanilla en la parte superior para añadir el gel 
- Funcionamiento: Manual</t>
  </si>
  <si>
    <t>Recipiente con capacidad mínima de 500 ml (Unidad)</t>
  </si>
  <si>
    <t>Limpiador multiusos 1 (Compra)</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</si>
  <si>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</si>
  <si>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</si>
  <si>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Limpiador multiusos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</si>
  <si>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</si>
  <si>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 de pistola.</t>
  </si>
  <si>
    <t>Limpiador multiusos 3 (Compra)</t>
  </si>
  <si>
    <t>Líquido, en recipiente plástico de repuesto  con capacidad mínima de 500 ml</t>
  </si>
  <si>
    <t>Limpiador desinfectante para pisos (Compra)</t>
  </si>
  <si>
    <t>- Apariencia: Líquido transparente
- Color y olor: De acuerdo a la fragancia
- Producto biodegradable que no afectas la capa de ozono
- Solubilidad: Total en agua
- PH: 7.5 - 8.5
- Composición: Tensoactivos, espesante, coadyuvante, colorante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t>
  </si>
  <si>
    <t>Líquido, en garrafa  con capacidad mínima de 3.785 ml</t>
  </si>
  <si>
    <t>Líquido desengrasante (Compra)</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</si>
  <si>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</si>
  <si>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Crema desengrasante (Compra)</t>
  </si>
  <si>
    <t xml:space="preserve">- Disponible en múltiples fragancias 
- Limpia y desengrasa todos los metales, plásticos, gomas, vidrio, cerámica y madera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o biodegradable
- No debe contener PVC o Poliestireno expandido u otros plásticos de un solo uso tanto en el envase como en el embalaje. </t>
  </si>
  <si>
    <t>Crema, en recipiente reciclable o biodegadable con capacidad mínima de 500 g</t>
  </si>
  <si>
    <t>Detergente multiusos en polvo (Compra)</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</si>
  <si>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</si>
  <si>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</si>
  <si>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Limpiador desinfectante para uso general 1 (Compra)</t>
  </si>
  <si>
    <t>- Con agente(s) tensoactivo(s) con efecto antibacterial en una concentración mínima del 0,2%
- Con agente(s) tensoactivo(s) con efecto limpiador y desengrasante en una concentración mínima del 1,5%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</si>
  <si>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Limpiador desinfectante para uso general 2 (Compra)</t>
  </si>
  <si>
    <t>Líquido, en recipiente plástico con capacidad mínima de 500 ml, con atomizador de pistola.</t>
  </si>
  <si>
    <t>Limpiador desinfectante para uso general 3 (Compra)</t>
  </si>
  <si>
    <t>Líquido, en recipiente plástico con capacidad mínima de 500 ml</t>
  </si>
  <si>
    <t>Desinfectante de alto nivel de desinfección para uso hospitalario (Compra)</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</si>
  <si>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</si>
  <si>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</si>
  <si>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Pastilla desinfectante para sanitario (Compra)</t>
  </si>
  <si>
    <t xml:space="preserve"> Con agentes bactericidas, fungicidas y virucidas.</t>
  </si>
  <si>
    <t>Unidad con peso mínimo de 45 g</t>
  </si>
  <si>
    <t>Líquido para limpiar vidrios 1 (Compra)</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</si>
  <si>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</si>
  <si>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Líquido para limpiar vidrios 2 (Compra)</t>
  </si>
  <si>
    <t>- Con agente(s) principal(es) con efecto limpiador y desengrasante en una concentración mínima del 4%
- Disponible mínimo en dos (2)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</si>
  <si>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para limpiar vidrios 3 (Compra)</t>
  </si>
  <si>
    <t>Líquido, en recipiente plástico de repuesto con capacidad mínima
de 500 ml</t>
  </si>
  <si>
    <t>Blanqueador o hipoclorito 1 (Compra)</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</si>
  <si>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</si>
  <si>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Blanqueador o hipoclorito 2 (Compra)</t>
  </si>
  <si>
    <t>- Solución con una concentración mínima del 5%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</si>
  <si>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1.000 ml</t>
  </si>
  <si>
    <t>Blanqueador o hipoclorito 3 (Compra)</t>
  </si>
  <si>
    <t>- Granulado con una concentración mínima del 90%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</si>
  <si>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ganulado, en bolsa plástica de mínimo
1.000 g</t>
  </si>
  <si>
    <t>Alcohol industrial 1 (Compra)</t>
  </si>
  <si>
    <t xml:space="preserve"> - Solución acuosa de alcohol etílico desnaturalizado con una concentración mínima de 70%
 - Desnaturalizado</t>
  </si>
  <si>
    <t>Alcohol industrial 2 (Compra)</t>
  </si>
  <si>
    <t>- Solución acuosa de alcohol etílico desnaturalizado con una concentración mínima de 70%
- Desnaturalizado</t>
  </si>
  <si>
    <t>Líquido, en recipiente plástico con capacidad mínima de 1000ml</t>
  </si>
  <si>
    <t>Creolina 1 (Compra)</t>
  </si>
  <si>
    <t>- Solución con una concentración mínima de fenoles de 4%</t>
  </si>
  <si>
    <t>Líquido, en recipiente
plástico con capacidad mínima de 500 ml</t>
  </si>
  <si>
    <t>Creolina 2 (Compra)</t>
  </si>
  <si>
    <t>Líquido para limpiar equipos de oficina 1 (Compra)</t>
  </si>
  <si>
    <t xml:space="preserve"> - Con agente(s) principal(es) con efecto limpiador, desengrasante y desinfectante en una concentración mínima del 4%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</si>
  <si>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t>
  </si>
  <si>
    <t>Líquido para limpiar equipos de oficina 2 (Compra)</t>
  </si>
  <si>
    <t>Líquido, en recipiente plástico con capacidad
mínima de 500 ml</t>
  </si>
  <si>
    <t>Champú para alfombras y tapizados 1 (Compra)</t>
  </si>
  <si>
    <t>- Con agente(s) principal(es) con efecto limpiador en una concentración mínima del 8%
 - El envase debe estar  correctamente etiquetado: nombre comercial del producto, pictogramas de los compuestos peligrosos e instrucciones de uso</t>
  </si>
  <si>
    <t>Champú para alfombras y tapizados 2 (Compra)</t>
  </si>
  <si>
    <t>- Con agente(s) principal(es) con efecto limpiador en una concentración mínima del 8%
- Con agente espumante para la generación de espuma seca
 - El envase debe estar  correctamente etiquetados: nombre comercial del producto, pictogramas de los compuestos peligrosos e instrucciones de uso</t>
  </si>
  <si>
    <t>Lustrador de muebles (Compra)</t>
  </si>
  <si>
    <t xml:space="preserve"> - Con agentes limpiadores y abrillantadores en una concentración mínima del 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</si>
  <si>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200 ml</t>
  </si>
  <si>
    <t>Líquido cubre rasguños para madera (Compra)</t>
  </si>
  <si>
    <t>- Con agentes limpiadores y abrillantadores en una concentración mínima del 5%
- De color oscuro para coayudar a cubrir rasguños en maderas oscuras</t>
  </si>
  <si>
    <t>En recipiente plástico
con capacidad mínima de 200 ml</t>
  </si>
  <si>
    <t>Crema para cuero (Compra)</t>
  </si>
  <si>
    <t xml:space="preserve"> - Con agentes limpiadores y abrillantadores en una concentración mínima del 5% </t>
  </si>
  <si>
    <t>Crema, en recipiente plástico con capacidad
mínima de 200 ml</t>
  </si>
  <si>
    <t>Cera polimérica (Compra)</t>
  </si>
  <si>
    <t xml:space="preserve"> Polimérica autobrillante.
 Con polímeros acrílicos, nivelantes y plastificantes.
 Neutra (para pisos de todos los colores)
 Contenido mínimo de sólidos del 10%</t>
  </si>
  <si>
    <t>Cera emulsionada Neutra (Compra)</t>
  </si>
  <si>
    <t>- Emulsionada
- Neutra (para pisos de todos los colores)
- Contenido mínimo de sólidos del 5%</t>
  </si>
  <si>
    <t>Cera emulsionada roja (Compra)</t>
  </si>
  <si>
    <t>- Emulsionada
- Roja
- Contenido mínimo de sólidos del 5%
- Antideslizante</t>
  </si>
  <si>
    <t>Cera solvente (Compra)</t>
  </si>
  <si>
    <t>- Solvente
- Contenido mínimo de sólidos del 10%</t>
  </si>
  <si>
    <t>Sellante para pisos (Compra)</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</si>
  <si>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</si>
  <si>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Mantenedor de pisos (Compra)</t>
  </si>
  <si>
    <t xml:space="preserve"> Polimérico autobrillante.
 Con polímeros acrílicos, nivelantes y plastificantes.
 Contenido mínimo de sólidos del 8%</t>
  </si>
  <si>
    <t>Líquido, en recipiente
plástico con capacidad mínima de 3.785 ml</t>
  </si>
  <si>
    <t>Removedor de cera (Compra)</t>
  </si>
  <si>
    <t xml:space="preserve"> Con agente activo alcalino en una concentración mínima del 9%
 pH entre 11 y 14</t>
  </si>
  <si>
    <t>Abrillantador para piso laminado (Compra)</t>
  </si>
  <si>
    <t>- Con agente(s) con efecto limpiador y brillador.</t>
  </si>
  <si>
    <t>Jabón neutro para pisos 1 (Compra)</t>
  </si>
  <si>
    <t>Jabón multiusos
PH Neutro, 
No corrosivo ni tóxico
 Debe contener concentraciones de fósforo iguales o inferiores a 0.65% de fósforo (Resolución 0689 de 2016)</t>
  </si>
  <si>
    <t>Jabón neutro para pisos 2 (Compra)</t>
  </si>
  <si>
    <t>- Jabón neutro biodegradable multiusos
- PH Neutro
- No es corrosivo ni tóxico
- Color: Azul claro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no debe contener PVC, Poliestireno expandido u otros plásticos de un solo uso tanto en el envase como en el embalaje.
- Debe contener concentraciones de fósforo iguales o inferiores a 0.65% de fósforo (Resolución 0689 de 2016)</t>
  </si>
  <si>
    <t>Líquido, en cuñete con capacidad de 20 L</t>
  </si>
  <si>
    <t>Varsol  ecológico 1 (Compra)</t>
  </si>
  <si>
    <t>- Solución con agentes desinfectantes, desmanchadores y desengrasantes  en concentración mínima del 15%.
- Biodegradable mínimo en un 95%</t>
  </si>
  <si>
    <t>Líquido, en recipiente plástico con capacidad mínima de 1000 ml</t>
  </si>
  <si>
    <t>Varsol ecológico 2 (Compra)</t>
  </si>
  <si>
    <t xml:space="preserve"> Solución con agentes desinfectantes, desmanchadores y desengrasantesen concentración mínima del 15%.
 Biodegradable mínimo en un 95%</t>
  </si>
  <si>
    <t>Desmanchador multiusos (Compra)</t>
  </si>
  <si>
    <t>- Con agente(s) tensoactivo(s) con efecto limpiador y desengrasante
- Para superficies de todo tipo.</t>
  </si>
  <si>
    <t>Crema, en bolsa plástica de mínimo 500 g</t>
  </si>
  <si>
    <t>Brillametal en crema (Compra)</t>
  </si>
  <si>
    <t>- Con agentes con efecto limpiador, pulidor y brillador.
- Para todo tipo de metales
 - El  envase del producto deberá estar correctamente etiquetado, indicando: nombre comercial del producto, pictogramas de los compuestos peligrosos e instrucciones de uso</t>
  </si>
  <si>
    <t>En crema de mínimo 70 g</t>
  </si>
  <si>
    <t>Brillametal líquido (Compra)</t>
  </si>
  <si>
    <t>- Con agentes con efecto limpiador, pulidor y brillador.
- Para todo tipo de metales</t>
  </si>
  <si>
    <t>Líquido , en recipiente plástico con capacidad mínima de 200 ml</t>
  </si>
  <si>
    <t>Betún (Compra)</t>
  </si>
  <si>
    <t>- Contenido mínimo de sólidos del 30%
- Color negro
- No debe contener ningún material que sea cancerígeno ( Clasificación 1 y 2a por la IARC), Mutagénico, Tóxico, Contaminante peligroso del aire o que sea agotador de la capa de ozono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</si>
  <si>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Tarro de mínimo 100 g</t>
  </si>
  <si>
    <t>Ambientador 1 (Compra)</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</si>
  <si>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</si>
  <si>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Ambientador 2 (Compra)</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</si>
  <si>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</si>
  <si>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</si>
  <si>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Insecticida 1 (Compra)</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</si>
  <si>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</si>
  <si>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</si>
  <si>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Insecticida 2 (Compra)</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</si>
  <si>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</si>
  <si>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Limpiones 1 (Compra)</t>
  </si>
  <si>
    <t xml:space="preserve"> En tela de toalla fileteada
 Color blanco sin estampado
 Tamaño mínimo de 45cm de largo por 45cm de ancho.</t>
  </si>
  <si>
    <t>Limpiones 2 (Compra)</t>
  </si>
  <si>
    <t xml:space="preserve"> En tela de toalla fileteada
 Color blanco sin estampado
Tamaño mínimo de 100 cm de largo por 70 cm de ancho</t>
  </si>
  <si>
    <t>Limpiones 3 (Compra)</t>
  </si>
  <si>
    <t xml:space="preserve"> En tela fileteada
 Color blanco sin estampado
 Tamaño mínimo de 45 cm de largo por 45 cm de ancho</t>
  </si>
  <si>
    <t>Limpiones 4 (Compra)</t>
  </si>
  <si>
    <t xml:space="preserve"> En tela fileteada
 Color blanco sin estampado
Tamaño mínimo de 100 cm de largo por 70 cm de ancho</t>
  </si>
  <si>
    <t>Limpiones 5 (Compra)</t>
  </si>
  <si>
    <t xml:space="preserve"> En tela tipo galleta fileteada
 Color blanco o beige sin estampado
Tamaño mínimo de 100 cm de largo por 70 cm de ancho</t>
  </si>
  <si>
    <t>Bayetilla 1 (Compra)</t>
  </si>
  <si>
    <t>En tela fileteada
 100% algodón y fibra natural 
 Color blanco sin estampado
Tamaño mínimo de 100 cm de largo por 70 cm de ancho</t>
  </si>
  <si>
    <t>Bayetilla 2 (Compra)</t>
  </si>
  <si>
    <t>En tela fileteada
100% algodón y fibra natural 
Color rojo sin estampado
 Tamaño mínimo de 100 cm de largo por 70 cm de ancho</t>
  </si>
  <si>
    <t>Toalla en tela blanca para pisos por metro (repuesto de haraganes) (Compra)</t>
  </si>
  <si>
    <t xml:space="preserve"> - Elaborado  en microfibras
 - Color blanco
 - Tamaño mínimo de 100 cm de largo por 70 cm de ancho</t>
  </si>
  <si>
    <t>Paño absorbente multiusos 1 (Compra)</t>
  </si>
  <si>
    <t xml:space="preserve"> Retira el polvo sin dejar residuos ni pelusas
 Antibacterial reutilizable
 Tela con microporos
 Tamaño mínimo de 60 cm de largo por 33 cm de ancho</t>
  </si>
  <si>
    <t>Paquete X 6 unidades</t>
  </si>
  <si>
    <t>Paño absorbente multiusos 2 (Compra)</t>
  </si>
  <si>
    <t xml:space="preserve"> Retira el polvo sin dejar residuos ni pelusas
 Antibacterial reutilizable
 Tela con microporos
 Tamaño mínimo de 25 cm de largo por 45 cm de ancho</t>
  </si>
  <si>
    <t>Rollo X 40 unidades</t>
  </si>
  <si>
    <t>Estopa (Compra)</t>
  </si>
  <si>
    <t>- Hecha 100% de hilos de algodón blanco peinado.
-Suave al tacto, para lustrar
- No debe contener PVC o Poliestireno expandido u otros plásticos de un solo uso tanto en el envase como en el embalaje.</t>
  </si>
  <si>
    <t>Bolsa de mínimo 400 g</t>
  </si>
  <si>
    <t>Esponjilla 1 (Compra)</t>
  </si>
  <si>
    <t xml:space="preserve"> Espuma enmallada
 Tamaño mínimo de 7 cm de largo por 10 cm de ancho</t>
  </si>
  <si>
    <t>Esponjilla 2 (Compra)</t>
  </si>
  <si>
    <t xml:space="preserve"> Doble uso (material de esponjilla blanda y abrasiva)
 Tamaño mínimo de 7 cm de largo por 10 cm de ancho
 No debe contener PVC o Poliestireno expandido u otros plásticos de un solo uso tanto en el envase como en el embalaje</t>
  </si>
  <si>
    <t>Esponjilla 3 (Compra)</t>
  </si>
  <si>
    <t xml:space="preserve"> Abrasiva
 Tamaño mínimo de 9 cm de largo por 12 cm de</t>
  </si>
  <si>
    <t>Esponjilla 4 (Compra)</t>
  </si>
  <si>
    <t xml:space="preserve"> Elaborada con fibra de acero inoxidable para dar brillo
 Tamaño mínimo de 5 cm de largo por 5 cm de ancho</t>
  </si>
  <si>
    <t>Esponjilla 5 (Compra)</t>
  </si>
  <si>
    <t xml:space="preserve"> Elaborada con alambre de acero inoxidable
 Tamaño mínimo de 7 cm de largo por 10 cm de ancho</t>
  </si>
  <si>
    <t>Esponjilla 6 (Compra)</t>
  </si>
  <si>
    <t>- Espuma enmallada
- Tamaño mínimo de 7 cm de largo por 10 cm de ancho
- No debe contener PVC o Poliestireno expandido u otros plásticos de un solo uso tanto en el envase como en el embalaje.</t>
  </si>
  <si>
    <t>Esponjilla 7 (Compra)</t>
  </si>
  <si>
    <t>- Abrasiva
- Tamaño mínimo de 9 cm de largo por 12 cm de ancho
- No debe contener PVC o Poliestireno expandido u otros plásticos de un solo uso tanto en el envase como en el embalaje.</t>
  </si>
  <si>
    <t>Escoba 1 (Compra)</t>
  </si>
  <si>
    <t xml:space="preserve"> Cerdas suaves elaboradas con PET calibre entre 0,3 y 0,4 mm.
 Área de barrido mínima de 25 cm de largo por 8 cm de ancho por 10 cm de alto
 Material de base en plástico con acople tipo rosca
</t>
  </si>
  <si>
    <t>Escoba 2 (Compra)</t>
  </si>
  <si>
    <t xml:space="preserve"> Cerdas duras elaboradas con PET calibre entre 0,4 y 0,6 mm.
 Área de barrido mínima de 25 cm de largo por 8 cm de ancho por 10 cm de alto
 Material de base en plástico con acople tipo rosca
</t>
  </si>
  <si>
    <t>Escoba 3 (Compra)</t>
  </si>
  <si>
    <t xml:space="preserve"> Cerdas suaves elaboradas con PET calibre entre 0,3 y 0,4 mm.
 Área de barrido mínima de 35 cm de largo por 8 cm de ancho por 10 cm de alto
 Material de base en plástico con acople tipo rosca
</t>
  </si>
  <si>
    <t>Escoba 4 (Compra)</t>
  </si>
  <si>
    <t xml:space="preserve"> Cerdas duras elaboradas con PET calibre entre 0,4 y 0,6 mm.
 Área de barrido mínima de 35 cm de largo por 8 cm de ancho por 10 cm de alto
 Material de base en plástico con acople tipo rosca
</t>
  </si>
  <si>
    <t>Escoba 5 (Compra)</t>
  </si>
  <si>
    <t xml:space="preserve">- Cerdas suaves elaboradas con PET calibre entre 0,3 y 0,4 mm.
- Área de barrido mínima de 35 cm de largo por 8 cm de ancho por 10 cm de alto
- Mango de madera proveniente de explotación forestal sostenible certificada ( FSC, PEFC o equivalentes) y/o Mango y Fibra de plástico (reciclado o nuevo) de polipropileno (PP) o polietileno (PE) y/o cabo metálico que no contenga material plastificado
- No debe contener PVC u otros plásticos con cloro. 
- Cabo de madera 140cm elaborada con fibra natural, con soporte para colgar, con capucha plástica protectora que evita que se desprendan las fibras o se deformen
</t>
  </si>
  <si>
    <t>Mango metálico escoba 1 (Compra)</t>
  </si>
  <si>
    <t xml:space="preserve"> Extensión mínima de 140 cm
 Acople plástico o rosca para palos de escoba
 </t>
  </si>
  <si>
    <t>Mango madera escoba 1 (Compra)</t>
  </si>
  <si>
    <t xml:space="preserve">- Extensión mínima de 140 cm
 -Acople plástico o rosca para palos de escoba
 </t>
  </si>
  <si>
    <t>Cepillos 1 (Compra)</t>
  </si>
  <si>
    <t>- Tipo plancha, con mango de plástico
- Cuerpo elaborado en plástico
- Cerdas duras en fibra plástica
- Tamaño mínimo de 15 cm de largo por 5cm de ancho por 6 cm de alto.</t>
  </si>
  <si>
    <t>Cepillos 2 (Compra)</t>
  </si>
  <si>
    <t xml:space="preserve"> Para pisos
 Cuerpo elaborado en plástico
 Cerdas duras en fibra plástica
 Tamaño mínimo de 23 cm de largo por 6 cm de ancho por 7 cm de alto.
 Mango metálico con una extensión mínima de
140 cm</t>
  </si>
  <si>
    <t>Cepillos 3 (Compra)</t>
  </si>
  <si>
    <t xml:space="preserve"> Para pisos
 Cuerpo elaborado en plástico
 Cerdas duras en fibra plástica
 Tamaño mínimo de 35 cm de largo por 6 cm de ancho por 7 cm de alto.
 Mango metálico con una extensión mínima de
140 cm</t>
  </si>
  <si>
    <t>Trapero 1 (Compra)</t>
  </si>
  <si>
    <t xml:space="preserve">Elaborado con hilaza de algodón natural
Mecha con peso mínimo 250 gr y extensión mínima de 32 cm delargo
Material de base en plástico con acople tipo rosca
</t>
  </si>
  <si>
    <t>Trapero 2 (Compra)</t>
  </si>
  <si>
    <t xml:space="preserve"> Elaborado con hilaza de algodón natural
 Mecha con peso mínimo de 350 gr y extensión mínima de 32 cm de largo
 Material de base en plástico con acople tipo rosca
</t>
  </si>
  <si>
    <t>Trapero 3 (Compra)</t>
  </si>
  <si>
    <t xml:space="preserve"> Elaborado con hilaza de algodón natural
 Mecha con peso mínimo de 435 gr y extensión mínima de 32 cm de largo
 Material de base en plástico con acople tipo rosca</t>
  </si>
  <si>
    <t>Trapero 4 (Compra)</t>
  </si>
  <si>
    <t>- Trapero en hilo encabado 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</si>
  <si>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Mango metálico trapero (Compra)</t>
  </si>
  <si>
    <t>Mango madera trapero (Compra)</t>
  </si>
  <si>
    <t xml:space="preserve">- Extensión mínima de 140 cm
- Acople plástico o rosca para palos de escoba
 </t>
  </si>
  <si>
    <t>Cepillo para sanitario (churrusco) (Compra)</t>
  </si>
  <si>
    <t xml:space="preserve"> Cerdas duras elaboradas en fibras plásticas
 Extensión mínima de las cerdas es de 2,5 cm
 Base y mango elaborados en plástico
 Mango con longitud mínima de 33 cm</t>
  </si>
  <si>
    <t>Pads 1 (Compra)</t>
  </si>
  <si>
    <t xml:space="preserve"> Para brillo
 Diámetro mínimo de 16 pulgadas
 Rojo o blanco</t>
  </si>
  <si>
    <t>Pads 2 (Compra)</t>
  </si>
  <si>
    <t xml:space="preserve"> Para remoción
 Diámetro mínimo de 16 pulgadas
 Café o negro</t>
  </si>
  <si>
    <t>Pads 3 (Compra)</t>
  </si>
  <si>
    <t xml:space="preserve"> Para brillo
 Diámetro mínimo de 20 pulgadas
 Rojo o blanco</t>
  </si>
  <si>
    <t>Pads 4 (Compra)</t>
  </si>
  <si>
    <t xml:space="preserve"> Para remoción
 Diámetro mínimo de 20 pulgadas
 Café o negro</t>
  </si>
  <si>
    <t>Pads 5 (Compra)</t>
  </si>
  <si>
    <t>- Pad de fibras para máquinas de baja densidad para lavado suave de mantención, remueve marcas, suciedad y derrames. 
- Diámetro: 17" 
- Color: blanco. 
- No debe contener PVC o Poliestireno expandido u otros plásticos de un solo uso tanto en el envase como en el embalaje.</t>
  </si>
  <si>
    <t>Boneth 1 (Compra)</t>
  </si>
  <si>
    <t>- Diámetro mínimo de 16 pulgadas
- Elaborado en hilaza de algodón</t>
  </si>
  <si>
    <t>Boneth 2 (Compra)</t>
  </si>
  <si>
    <t xml:space="preserve"> Diámetro mínimo de 20 pulgadas
 Elaborado en hilaza de algodón</t>
  </si>
  <si>
    <t>Bolsas plásticas 1 (Compra)</t>
  </si>
  <si>
    <t xml:space="preserve"> Elaborada en polietileno de baja densidad
 De color negro
 Calibre de mínimo 1
 Tamaño de 40 cm de ancho por 55 cm de largo</t>
  </si>
  <si>
    <t>Paquete de mínimo 6</t>
  </si>
  <si>
    <t>Bolsas plásticas 2 (Compra)</t>
  </si>
  <si>
    <t xml:space="preserve"> Elaborada en polietileno de baja densidad
 De color verde
 Calibre de mínimo 1
 Tamaño de 40 cm de ancho por 55 cm de largo</t>
  </si>
  <si>
    <t>Bolsas plásticas 3 (Compra)</t>
  </si>
  <si>
    <t>- Elaborada en polietileno de baja densidad
- De color blanco
- Calibre de mínimo 1
- Tamaño de 40 cm de ancho por 55 cm de largo</t>
  </si>
  <si>
    <t>Bolsas plásticas 4 (Compra)</t>
  </si>
  <si>
    <t>- Elaborada en polietileno de baja densidad
- De color rojo
- Calibre de mínimo 1
- Tamaño de 40 cm de ancho por 55 cm de largo
 - Con impresión de aviso de riesgo biológico</t>
  </si>
  <si>
    <t>Bolsas plásticas 5 (Compra)</t>
  </si>
  <si>
    <t>- Elaborada en polietileno de baja densidad
- De color azul
- Calibre de mínimo 1
- Tamaño de 40 cm de ancho por 55 cm de largo</t>
  </si>
  <si>
    <t>Bolsas plásticas 7 (Compra)</t>
  </si>
  <si>
    <t>- Elaborada en polietileno de baja densidad
- De color amarillo
- Calibre de mínimo 1
- Tamaño de 40 cm de ancho por 55 cm de largo</t>
  </si>
  <si>
    <t>Bolsas plásticas 8 (Compra)</t>
  </si>
  <si>
    <t xml:space="preserve"> Elaborada en polietileno de baja densidad
 De color negro
Calibre de mínimo 2
 Tamaño de 60 cm de ancho por 70 cm de largo</t>
  </si>
  <si>
    <t>Bolsas plásticas 9 (Compra)</t>
  </si>
  <si>
    <t>- Elaborada en polietileno de baja densidad
- De color verde
- Calibre de mínimo 2
- Tamaño de 60 cm de ancho por 70 cm de largo</t>
  </si>
  <si>
    <t>Bolsas plásticas 10 (Compra)</t>
  </si>
  <si>
    <t>- Elaborada en polietileno de baja densidad
- De color blanco
- Calibre de mínimo 2
- Tamaño de 60 cm de ancho por 70 cm de largo</t>
  </si>
  <si>
    <t>Bolsas plásticas 11 (Compra)</t>
  </si>
  <si>
    <t>- Elaborada en polietileno de baja densidad
- De color rojo
- Calibre de mínimo 2
- Tamaño de 60 cm de ancho por 70 cm de largo
- Con impresión de aviso de riesgo biológico</t>
  </si>
  <si>
    <t>Bolsas plásticas 12 (Compra)</t>
  </si>
  <si>
    <t xml:space="preserve">- Elaborada en polietileno de baja densidad
- De color azul
- Calibre de mínimo 2
- Tamaño de 60 cm de ancho por 70 cm de largo
</t>
  </si>
  <si>
    <t>Bolsas plásticas 14 (Compra)</t>
  </si>
  <si>
    <t xml:space="preserve">- Elaborada en polietileno de baja densidad
- De color amarillo
- Calibre de mínimo 2
- Tamaño de 60 cm de ancho por 70 cm de largo
</t>
  </si>
  <si>
    <t>Bolsas plásticas 15 (Compra)</t>
  </si>
  <si>
    <t xml:space="preserve"> Elaborada en polietileno de baja densidad
 De color negro
 Calibre de mínimo 2
 Tamaño de 70 cm de ancho por 90 cm de largo</t>
  </si>
  <si>
    <t>Bolsas plásticas 16 (Compra)</t>
  </si>
  <si>
    <t>- Elaborada en polietileno de baja densidad
- De color verde
- Calibre de mínimo 2
- Tamaño de 70 cm de ancho por 90 cm de largo</t>
  </si>
  <si>
    <t>Bolsas plásticas 17 (Compra)</t>
  </si>
  <si>
    <t xml:space="preserve"> Elaborada en polietileno de baja densidad
 De color blanco
 Calibre de mínimo 2
 Tamaño de 70 cm de ancho por 90 cm de largo</t>
  </si>
  <si>
    <t>Bolsas plásticas 18 (Compra)</t>
  </si>
  <si>
    <t>- Elaborada en polietileno de baja densidad
- De color rojo
- Calibre de mínimo 2
- Tamaño de 70 cm de ancho por 90 cm de largo
- Con impresión de aviso de riesgo biológico</t>
  </si>
  <si>
    <t>Bolsas plásticas 19 (Compra)</t>
  </si>
  <si>
    <t xml:space="preserve">- Elaborada en polietileno de baja densidad
- De color azul
- Calibre de mínimo 2
- Tamaño de 70 cm de ancho por 90 cm de largo
</t>
  </si>
  <si>
    <t>Bolsas plásticas 20 (Compra)</t>
  </si>
  <si>
    <t xml:space="preserve">- Elaborada en polietileno de baja densidad
- De color amarillo
- Calibre de mínimo 2
- Tamaño de 70 cm de ancho por 90 cm de largo
</t>
  </si>
  <si>
    <t>Bolsas plásticas 21 (Compra)</t>
  </si>
  <si>
    <t>- Elaborada en polietileno de baja densidad
- De color negro
- Calibre de mínimo 3
- Tamaño de 80 cm de ancho por 110 cm de largo</t>
  </si>
  <si>
    <t>Bolsas plásticas 22 (Compra)</t>
  </si>
  <si>
    <t xml:space="preserve"> Elaborada en polietileno de baja densidad
 De color verde
 Calibre de mínimo 3
 Tamaño de 80 cm de ancho por 110 cm de largo</t>
  </si>
  <si>
    <t>Bolsas plásticas 23 (Compra)</t>
  </si>
  <si>
    <t>- Elaborada en polietileno de baja densidad
- De color blanco
-Calibre de mínimo 3
- Tamaño de 80 cm de ancho por 110 cm de largo</t>
  </si>
  <si>
    <t>Bolsas plásticas 24 (Compra)</t>
  </si>
  <si>
    <t xml:space="preserve"> Elaborada en polietileno de baja densidad
 De color rojo
Calibre de mínimo 3
 Tamaño de 80 cm de ancho por 110 cm de largo
 Con impresión de aviso de riesgo biológico</t>
  </si>
  <si>
    <t>Bolsas plásticas 25 (Compra)</t>
  </si>
  <si>
    <t xml:space="preserve">- Elaborada en polietileno de baja densidad
- De color azul
-Calibre de mínimo 3
- Tamaño de 80 cm de ancho por 110 cm de largo
</t>
  </si>
  <si>
    <t>Bolsas plásticas 26 (Compra)</t>
  </si>
  <si>
    <t xml:space="preserve">- Elaborada en polietileno de baja densidad
- De color amarilla
-Calibre de mínimo 3
- Tamaño de 80 cm de ancho por 110 cm de largo
</t>
  </si>
  <si>
    <t>Guantes 1 (Compra)</t>
  </si>
  <si>
    <t>- Tipo doméstico
- Elaborados en látex
- Calibre mínimo de 18
- Tallas 7 a 9 o S a XL
- Color amarillo</t>
  </si>
  <si>
    <t>Par</t>
  </si>
  <si>
    <t>Guantes 2 (Compra)</t>
  </si>
  <si>
    <t>- Tipo doméstico
- Elaborados en látex
- Calibre mínimo de 18
- Tallas 7 a 9 o S a XL
- Color negro</t>
  </si>
  <si>
    <t>Guantes 3 (Compra)</t>
  </si>
  <si>
    <t>- Tipo doméstico
- Elaborados en látex
- Calibre mínimo de 25
- Tallas 7 a 9 o S a XL
- Color negro</t>
  </si>
  <si>
    <t>Guantes 4 (Compra)</t>
  </si>
  <si>
    <t>- Tipo doméstico
- Elaborados en látex
- Calibre mínimo de 25
- Tallas 7 a 9 o S a XL
- Color rojo</t>
  </si>
  <si>
    <t>Guantes 5 (Compra)</t>
  </si>
  <si>
    <t>- Tipo industrial
- Elaborados en látex
- Calibre mínimo de 35
- Tallas 7 a 9 o S a XL
- Color negro</t>
  </si>
  <si>
    <t>Guantes 6 (Compra)</t>
  </si>
  <si>
    <t>- Elaborados en látex desechable (tipo cirugía)
- Empovaldos
- Tallas XS a XXL</t>
  </si>
  <si>
    <t>Caja de mínimo 100 unidades</t>
  </si>
  <si>
    <t>Guantes 7 (Compra)</t>
  </si>
  <si>
    <t xml:space="preserve"> Elaborados en carnaza
 Tallas 7 a 9 o S a XL</t>
  </si>
  <si>
    <t>Guantes 8 (Compra)</t>
  </si>
  <si>
    <t>- Tipo mosquetero
- Calibre mínimo de 40
- Tallas 7 a 9 o S a XL
- Color negro</t>
  </si>
  <si>
    <t>Guantes 9 (Compra)</t>
  </si>
  <si>
    <t xml:space="preserve"> Elaborados en hilaza
 Tallas 7 a 9 o S a XL</t>
  </si>
  <si>
    <t>Tapabocas 1 (Compra)</t>
  </si>
  <si>
    <t>- Elaborado en tela no tejida
- Desechable
- Con tiras elásticas</t>
  </si>
  <si>
    <t>Caja de mínimo 50 unidades</t>
  </si>
  <si>
    <t>Tapabocas 2 (Compra)</t>
  </si>
  <si>
    <t>- Elaborado en tela no tejida de Polipropileno y Poliéster
- Desechable
- Con tiras elásticas
- Con soporte nasal</t>
  </si>
  <si>
    <t>Papel higiénico 1 (Compra)</t>
  </si>
  <si>
    <t>Rollo con longitud mínima de 20 metros
Doble hoja blanca
Sin fragancia</t>
  </si>
  <si>
    <t>Rollo</t>
  </si>
  <si>
    <t>Papel higiénico 2 (Compra)</t>
  </si>
  <si>
    <t>- Rollo con longitud mínima de 250 metros
- Doble hoja de color natural
- Sin fragancia</t>
  </si>
  <si>
    <t>Papel higiénico 3 (Compra)</t>
  </si>
  <si>
    <t xml:space="preserve"> Rollo con longitud mínima de 250 metros
 Doble hoja blanca
 Sin fragancia</t>
  </si>
  <si>
    <t>Papel higiénico 4 (Compra)</t>
  </si>
  <si>
    <t>- Rollo con longitud mínima de 400 metros
- Hoja sencilla de color natural
- Sinfragancia</t>
  </si>
  <si>
    <t>Papel higiénico 5 (Compra)</t>
  </si>
  <si>
    <t xml:space="preserve"> - Rollo con longitud mínima de 400 metros
 - Hoja sencilla de color blanco
 - Sin fragancia</t>
  </si>
  <si>
    <t>Toallas para manos 1 (Compra)</t>
  </si>
  <si>
    <t>- Rollo con longitud mínima de 100 metros
- Doble hoja con un tamaño mínimo 15 cm de ancho
- Disponibles en color blanco</t>
  </si>
  <si>
    <t>Toallas para manos 2 (Compra)</t>
  </si>
  <si>
    <t>- Rollo con longitud mínima de 100 metros
- Doble hoja con un tamaño mínimo 15 cm de ancho
- Disponibles en color natural</t>
  </si>
  <si>
    <t>Toallas para manos 3 (Compra)</t>
  </si>
  <si>
    <t xml:space="preserve"> - Rollo con longitud mínima de 150 metros
 - Doble hoja con un tamaño mínimo 15 cm de ancho
 - Disponibles en color blanco
 - Sin olor o fragancia</t>
  </si>
  <si>
    <t>Toallas para manos 4 (Compra)</t>
  </si>
  <si>
    <t xml:space="preserve"> - Rollo con longitud mínima de 150 metros
 - Doble hoja con un tamaño mínimo 15 cm de ancho
 - Disponibles en color natural
 - Sin fragancia</t>
  </si>
  <si>
    <t>Toallas para manos 5 (Compra)</t>
  </si>
  <si>
    <t>- Toallas interdobladas, paquete con mínimo 150 unidades
- Doble hoja con un tamaño mínimo de 20 cm de largo por 15 cm de ancho
 - Hoja color natural</t>
  </si>
  <si>
    <t>Toallas para manos 6 (Compra)</t>
  </si>
  <si>
    <t xml:space="preserve"> Toallas interdobladas, paquete con mínimo 150 unidades
 Doble hoja con un tamaño mínimo de 20 cm de largo por 15 cm de ancho
Hoja color blanco</t>
  </si>
  <si>
    <t>Toallas para manos 7 (Compra)</t>
  </si>
  <si>
    <t xml:space="preserve"> Toallas con precorte
 Rollo con longitud mínima de 100 metros
 Doble hoja con tamaño mínimo de 15 cms de ancho
 Color Blanco
 Sin fragancia</t>
  </si>
  <si>
    <t>Toallas para manos 8 (Compra)</t>
  </si>
  <si>
    <t>- Toallas con precorte
- Rollo con longitud mínima de 100 metros
- Doble hoja con tamaño mínimo de 15 cms de ancho
- Color Natural
- Sin fragancia</t>
  </si>
  <si>
    <t>Pañuelos (Compra)</t>
  </si>
  <si>
    <t xml:space="preserve"> Doble hoja
 Color blanco</t>
  </si>
  <si>
    <t>Vasos biodegradables 1 (Compra)</t>
  </si>
  <si>
    <t xml:space="preserve"> - Elaborado en cartón 97% biodegradable
- Capacidad mínima de 4 oz</t>
  </si>
  <si>
    <t>Paquete de mínimo 50 unidades</t>
  </si>
  <si>
    <t>Vasos biodegradables 2 (Compra)</t>
  </si>
  <si>
    <t>Elaborado en cartón 97% biodegradable
Capacidad mínima de 6 oz</t>
  </si>
  <si>
    <t>Paquete de mínimo 50</t>
  </si>
  <si>
    <t>Vasos biodegradables 3 (Compra)</t>
  </si>
  <si>
    <t>Elaborado en cartón 97% biodegradable
 Capacidad mínima de 9 oz</t>
  </si>
  <si>
    <t>Paquete de mínimo 40 unidades</t>
  </si>
  <si>
    <t>Vasos biodegradables 4 (Compra)</t>
  </si>
  <si>
    <t xml:space="preserve"> Capacidad mínima de 9 onzas 
 Sin tapa 
 Liso
 Biodegradable y compostable.
 Elaborado en polyboard (cartón)y/ocon la fibra de caña de azúcar o almidón de maíz</t>
  </si>
  <si>
    <t>Mezclador 1 (Compra)</t>
  </si>
  <si>
    <t xml:space="preserve"> Mezcladoreselaborados en madera y/o apartir de recursos renovables como la caña de azucar y/o almidón de maíz
 Longitud mínima de 11 cm</t>
  </si>
  <si>
    <t>Paquete de mínimo 500</t>
  </si>
  <si>
    <t>Servilleta papel (Compra)</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</si>
  <si>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</si>
  <si>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</si>
  <si>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Filtro para greca 1 (Compra)</t>
  </si>
  <si>
    <t xml:space="preserve"> Elaborada en tela
 Para greca
 Capacidad de media libra
 No debe contener PVC o Poliestireno expandido u otros plásticos de un solo uso tanto en el envase como en el embalaje</t>
  </si>
  <si>
    <t>Filtro para greca 2 (Compra)</t>
  </si>
  <si>
    <t xml:space="preserve"> Elaborada en tela
 Para greca
 Capacidad de una 1 libra
 No debe contener PVC o Poliestireno expandido u otros plásticos de un solo uso tanto en el envase como en el embalaje.</t>
  </si>
  <si>
    <t>Filtro para greca 3 (Compra)</t>
  </si>
  <si>
    <t>- Elaborada en tela
- Para greca
- Capacidad de dos 2 libras
- No debe contener PVC o Poliestireno expandido u otros plásticos de un solo uso tanto en el envase como en el embalaje.</t>
  </si>
  <si>
    <t>Churrusco para tubos de greca (Compra)</t>
  </si>
  <si>
    <t>- Cepillo para lavado y fregado de grecas.  
- No debe contener PVC, Poliestireno expandido u otros plásticos de un solo uso tanto en el envase como en el embalaje.
- Base y mango elaborados en alambre</t>
  </si>
  <si>
    <t>Papel Aluminio 1 (Compra)</t>
  </si>
  <si>
    <t>- Longitud mínima del rollo de 40 metros
- Ancho mínimo del rollo de 27 cm</t>
  </si>
  <si>
    <t>Caja de carton con un 1 rollo de mínimo 40 metros de largo y 27
cm de ancho</t>
  </si>
  <si>
    <t>Papel Aluminio 2 (Compra)</t>
  </si>
  <si>
    <t>- Longitud mínima del rollo de 100 metros
- Ancho mínimo del rollo de 27 cm</t>
  </si>
  <si>
    <t>Caja de carton con un 1 rollo de mínimo 100 metros de largo y 27
cm de ancho</t>
  </si>
  <si>
    <t>Película transparente para alimentos (Compra)</t>
  </si>
  <si>
    <t>- Longitud mínima del rollo de 50 metros
- Ancho mínimo del rollo de 27 cm</t>
  </si>
  <si>
    <t>Caja de carton con un 1 rollo</t>
  </si>
  <si>
    <t>Termo para café 1 (Compra)</t>
  </si>
  <si>
    <t xml:space="preserve"> Elaborado en plástico
 Capacidad mínima de 1 litro</t>
  </si>
  <si>
    <t>Termo para café 2 (Compra)</t>
  </si>
  <si>
    <t xml:space="preserve"> - Térmico, con bomba tipo dispensador. Portatil.  
 - Bomba manual para dispensar la bebida.  
 - Acero inoxidable y plastico. 
 - Agarradera plastica, tapa con empaque, bomba manual. 
 - Capacidad mínima de 3 litros</t>
  </si>
  <si>
    <t>Café 1 (Compra)</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</si>
  <si>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</si>
  <si>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</si>
  <si>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Café 2 (Compra)</t>
  </si>
  <si>
    <t>- Tostión media
- Descafeinado
- Empacado en bolsa de polipropileno aluminizada resistente a la humedad y al oxigeno
- Debe cumplir con las Resoluciones 333 de 2011 y 2674 de 2013 y aquellas que la modifiquen, adicionen o deroguen.</t>
  </si>
  <si>
    <t>Café 3 (Compra)</t>
  </si>
  <si>
    <t xml:space="preserve">- Instantáneo, para máquinas automáticas
- Tostión media
- Empacada en bolsa de polipropileno aluminizada resistente a la humedad y al oxígeno.  
- Debe cumplir con las Resoluciones 333 de 2011 y 2674 de 2013 hasta la entrada en vigencia de la Resolución 810 de 2021 y aquellas que la modifiquen, adicionen o deroguen.                          </t>
  </si>
  <si>
    <t>Bolsa de mínimo 500 g</t>
  </si>
  <si>
    <t>Café Social (Compra)</t>
  </si>
  <si>
    <t xml:space="preserve">- Diferentes tostiones
- Puntaje en taza mayor o igual a a 82 puntos catación SCA y/o orgánico y/o artesanal y/o con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
</t>
  </si>
  <si>
    <t>Crema para café (Compra)</t>
  </si>
  <si>
    <t xml:space="preserve"> No láctea
 Debe cumplir con Resolución 333 de 2011 sobre rotulado y etiquetado nutricional y las normas que la modifiquen</t>
  </si>
  <si>
    <t>Bolsas de mínimo 100 sobres de mínimo 4 g</t>
  </si>
  <si>
    <t>Azúcar 1 (Compra)</t>
  </si>
  <si>
    <t xml:space="preserve"> Blanca
 Empaque elaborado en materiales atóxicos
 Debe cumplir con Resolución 333 de 2011 sobre rotulado y etiquetado nutricional y las normas que la modifiquen</t>
  </si>
  <si>
    <t>Bolsa de mínimo 200 sobres o tubipacks de 5 g</t>
  </si>
  <si>
    <t>Azúcar 2 (Compra)</t>
  </si>
  <si>
    <t>- Blanca
- Empaque elaborado en materiales atóxicos
- Debe cumplir con Resolución 333 de 2011 sobre rotulado y etiquetado nutricional y las normas que la modifiquen</t>
  </si>
  <si>
    <t>Bolsa de mínimo 200 sobres o tubipacks de 3,5 g</t>
  </si>
  <si>
    <t>Azúcar 3 (Compra)</t>
  </si>
  <si>
    <t>Azúcar 4 (Compra)</t>
  </si>
  <si>
    <t>- Morena
- Empaque elaborado en materiales atóxicos
- Debe cumplir con Resolución 333 de 2011 sobre rotulado y etiquetado nutricional y las normas que la modifiquen</t>
  </si>
  <si>
    <t>Endulzante (Compra)</t>
  </si>
  <si>
    <t>- Sin calorías
- Empaque elaborado en materiales atóxicos
- Debe cumplir con Resolución 333 de 2011 sobre rotulado y etiquetado nutricional y las normas que la modifiquen</t>
  </si>
  <si>
    <t>Caja de mínimo 100 sobres</t>
  </si>
  <si>
    <t>Panela (Compra)</t>
  </si>
  <si>
    <t>- Panela instantánes pulverizada, deshidratada
- Debe cumplir con la NTC 1311 sobreo productos agrícolas
- Empaque elaborado en materiales atóxicos
- Debe cumplir con la Resolucion 779 de 2006
- Debe cumplir con Resolución 333 de 2011 sobre rotulado y etiquetado nutricional y las normas que la modifiquen</t>
  </si>
  <si>
    <t>Bolsa de mínimo 100 sobres de mínimo 5 g</t>
  </si>
  <si>
    <t>Sal 1 (Compra)</t>
  </si>
  <si>
    <t>- Refinada, con un 99,9% de pureza
- Con adiciones de yodo y flúor
- Debe cumplir con Resolución 333 de 2011 sobre rotulado y etiquetado nutricional y las normas que la modifiquen</t>
  </si>
  <si>
    <t>Libra (500 g)</t>
  </si>
  <si>
    <t>Sal 2 (Compra)</t>
  </si>
  <si>
    <t>1 kg (1.000 g)</t>
  </si>
  <si>
    <t>Sal 3 (Compra)</t>
  </si>
  <si>
    <t>Salero de mínimo 130 g</t>
  </si>
  <si>
    <t>Aromática (Compra)</t>
  </si>
  <si>
    <t xml:space="preserve"> Para infusión
 Cajas disponbiles en mínimo tres (3) sabores
 100% naturales</t>
  </si>
  <si>
    <t>Cajas de mínimo 20 en sobres.</t>
  </si>
  <si>
    <t>Aromática de panela (Compra)</t>
  </si>
  <si>
    <t>- Para infusión
- Cajas disponbiles en sabor limón, yerbabuena, canela y naranja
- Panela 100% natural y ecológica
- Embalaje en cartón corrugado  
- Debe cumplir con la NTC 1311 sobre productos agrícolas 
- Empaque elaborado en materiales atóxicos 
- Debe cumplir con la Resolucion 779 de 2006 
- Debe cumplir con Resolución 333 de 2011 sobre rotulado y etiquetado nutricional y las normas que la modifiquen. 
- Uso: Panela instantánea soluble al agua 
- Azúcares reductores expresados en glucosa, mínimo 5,74%; azúcares no reductores expresados en sacarosa, máximo 90%; proteínas, mínimo 0,2%; cenizas, mínimo 1%; humedad, máximo 5%; plomo expresado como As en mg/kg, máximo 0,1;
- No debe contener PVC o Poliestireno expandido u otros plásticos de un solo uso tanto en el envase como en el embalaje.</t>
  </si>
  <si>
    <t>Bebida de frutas (Compra)</t>
  </si>
  <si>
    <t>- En jarabe
- Cajas disponbiles en mínimo tres (3) sabores</t>
  </si>
  <si>
    <t>Caja de mínimo 20 sobres</t>
  </si>
  <si>
    <t>Bebida de panela (Compra)</t>
  </si>
  <si>
    <t>- Bebida instantánea granulada
- Cajas disponbiles en mínimo tres (3) sabores</t>
  </si>
  <si>
    <t>Caja de mínimo 25 sobres</t>
  </si>
  <si>
    <t>Té (Compra)</t>
  </si>
  <si>
    <t>Caja x 20 mínimo sobres</t>
  </si>
  <si>
    <t>Infusión frutal (Compra)</t>
  </si>
  <si>
    <t>Para infusión
100% naturales
Sabores surtidos</t>
  </si>
  <si>
    <t>Agua potable 1 (Compra)</t>
  </si>
  <si>
    <t>- Agua potable purificada sin gas</t>
  </si>
  <si>
    <t>Botella plástica de
mínimo 250 ml</t>
  </si>
  <si>
    <t>Agua potable 2 (Compra)</t>
  </si>
  <si>
    <t xml:space="preserve"> - Agua potable purificada sin gas</t>
  </si>
  <si>
    <t>Botella plástica de
mínimo 500 ml</t>
  </si>
  <si>
    <t>Agua potable 3 (Compra)</t>
  </si>
  <si>
    <t xml:space="preserve"> - Agua potable purificada
-  Con gas</t>
  </si>
  <si>
    <t>Agua potable 4 (Compra)</t>
  </si>
  <si>
    <t xml:space="preserve"> Agua potable potable purificada</t>
  </si>
  <si>
    <t>Botellón de mínimo 18.9 L</t>
  </si>
  <si>
    <t>Válvula dispensadora para botellón de agua (Compra)</t>
  </si>
  <si>
    <t>-Válvula en material plástico con boquilla ajustable a los diferentes tipos de botellones</t>
  </si>
  <si>
    <t>Servilleta de tela (Compra)</t>
  </si>
  <si>
    <t>- Elaborada en tela
- Color blanco
- Dimensiones mínimas de 40 cm de largo y 40 cm de ancho.</t>
  </si>
  <si>
    <t>Cepillo para paredes y techos (Compra)</t>
  </si>
  <si>
    <t xml:space="preserve"> - Cuerpo elaborado en plástico
 - Cerdas duras en fibra plástica
 - Largo mínimo de 140 cm</t>
  </si>
  <si>
    <t>Brillador 1 (Compra)</t>
  </si>
  <si>
    <t xml:space="preserve"> Mopa elaborada en algodón
 Área de barrido mínima de 100 cm de largo por 16cm de ancho
 Armazón y mango metálico</t>
  </si>
  <si>
    <t>Brillador 2 (Compra)</t>
  </si>
  <si>
    <t xml:space="preserve"> Mopa elaborada en algodón
 Área de barrido mínima de 60 cm de largo por 16cm de ancho
 Armazón y mango metálico</t>
  </si>
  <si>
    <t>Repuestos brillador 1 (Compra)</t>
  </si>
  <si>
    <t xml:space="preserve"> Mopa elaborada en algodón
 Área de barrido mínima de 100 cm de largo por 16 cm de ancho</t>
  </si>
  <si>
    <t>Repuestos brillador 2 (Compra)</t>
  </si>
  <si>
    <t xml:space="preserve"> Mopa elaborada en algodón
 Área de barrido mínima de 60 cm de largo por 16 cm de ancho</t>
  </si>
  <si>
    <t>Destapador para sanitario (chupa) (Compra)</t>
  </si>
  <si>
    <t xml:space="preserve"> Tipo campana
 Chupa elaborada en caucho
 Diámetro mínimo de 12 cm
 Mango elaborado en madera
 Mango con longitud mínima de 33 cm</t>
  </si>
  <si>
    <t>Plumero o limpia polvo (Compra)</t>
  </si>
  <si>
    <t>- Fibras sintéticas
- Mango de plástico
- Largo total mínimo de 65 cm
- Electrostático</t>
  </si>
  <si>
    <t>Rastrillo 1 (Compra)</t>
  </si>
  <si>
    <t>- Barra dentada plástica con mínimo 18 dientes
- Mango metálico  plastificado con longitud mínima de 120 cm</t>
  </si>
  <si>
    <t>Rastrillo 2 (Compra)</t>
  </si>
  <si>
    <t>- Barra dentada metálica con mínimo 18 dientes
- Mango metálico plastificado con longitud mínima de 120 cm</t>
  </si>
  <si>
    <t>Recogedor de basura 1 (Compra)</t>
  </si>
  <si>
    <t xml:space="preserve"> Elaborado en plástico
 Con banda de goma y dientas barrescobas
 Mango con longitud mínima de 70 cm</t>
  </si>
  <si>
    <t>Recogedor de basura 2 (Compra)</t>
  </si>
  <si>
    <t xml:space="preserve"> - Elaborado en plástico
 - Plegable, con tapa que abre y cierra</t>
  </si>
  <si>
    <t>Atomizadores (Compra)</t>
  </si>
  <si>
    <t xml:space="preserve"> Elaborado en plástico
 Reutilizable
 Capacidad mínima de 500 cc
 con pistola</t>
  </si>
  <si>
    <t>Caneca para almacenar ropa sucia  (Arrendamiento)</t>
  </si>
  <si>
    <t>- Elaborado en plástico
- Dimensiones mínimas de 50 cm de alto por 30 cm de ancho
- Incluye tapa
- En colores variados</t>
  </si>
  <si>
    <t>Caneca para almacenar ropa sucia  (Compra)</t>
  </si>
  <si>
    <t>Vasos  1 (Arrendamiento)</t>
  </si>
  <si>
    <t>- Elaborado en vidrio
- Cilíndrico
- Capacidad mínima de 9 oz</t>
  </si>
  <si>
    <t>Vasos  1 (Compra)</t>
  </si>
  <si>
    <t xml:space="preserve"> Elaborado en vidrio
 Cilíndrico
 Capacidad mínima de 9 oz</t>
  </si>
  <si>
    <t>Vasos  2 (Arrendamiento)</t>
  </si>
  <si>
    <t>- Elaborado en vidrio
- Cilíndrico
- Capacidad mínima de 12 oz</t>
  </si>
  <si>
    <t>Vasos  2 (Compra)</t>
  </si>
  <si>
    <t>Cuchara  (Compra)</t>
  </si>
  <si>
    <t>- Elaboradas en acero inoxidable
- Longitud total mínima de 17 cm</t>
  </si>
  <si>
    <t>Tenedor  (Compra)</t>
  </si>
  <si>
    <t>- Elaborados en acero inoxidable
- lisos
- Longitud total mínima de 17 cm</t>
  </si>
  <si>
    <t>Cuchillo  (Compra)</t>
  </si>
  <si>
    <t>- Elaborados en acero inoxidable
- lisos
- Longitud total mínima de 20 cm</t>
  </si>
  <si>
    <t>Cuchara pequeña  (Compra)</t>
  </si>
  <si>
    <t>- Elaborados en acero inoxidable
- lisos
- Longitud total mínima de 12 cm</t>
  </si>
  <si>
    <t>Platos  1 (Arrendamiento)</t>
  </si>
  <si>
    <t>- Elaborados en porcelana blanca
- Llanos
- Color blanco sin diseño
- Diámetro mínimo de 26 cm
- Apto para uso en horno microondas</t>
  </si>
  <si>
    <t>Platos  1 (Compra)</t>
  </si>
  <si>
    <t>Platos  2 (Arrendamiento)</t>
  </si>
  <si>
    <t>- Elaborados en porcelana blanca
- Llanos
- Color blanco sin diseño
- Diámetro mínimo de 22 cm
- Apto para uso en horno microondas</t>
  </si>
  <si>
    <t>Platos  2 (Compra)</t>
  </si>
  <si>
    <t>Platos  3 (Arrendamiento)</t>
  </si>
  <si>
    <t>- Elaborados en porcelana blanca
- Llanos
- Color blanco sin diseño
- Diámetro mínimo de 16 cm
- Apto para uso en horno microondas</t>
  </si>
  <si>
    <t>Platos  3 (Compra)</t>
  </si>
  <si>
    <t>Platos  4 (Arrendamiento)</t>
  </si>
  <si>
    <t>- Elaborados en porcelana blanca
- Hondo
- Color blanco sin diseño
- Diámetro mínimo de 17 cm
- Apto para uso en horno microondas</t>
  </si>
  <si>
    <t>Platos  4 (Compra)</t>
  </si>
  <si>
    <t>Platos  5 (Arrendamiento)</t>
  </si>
  <si>
    <t>- Elaborados en porcelana blanca
- Hondo
- Color blanco  sin diseño
- Diámetro mínimo de 22 cm
- Apto para uso en horno microondas</t>
  </si>
  <si>
    <t>Platos  5 (Compra)</t>
  </si>
  <si>
    <t>Pocillos  (Arrendamiento)</t>
  </si>
  <si>
    <t>- Elaborado en porcelana blanca para café
- Sin diseño
- De mínimo 150 cc
- No se debe rayar con el uso de cubiertos
- Debe ser apta para uso en microondas</t>
  </si>
  <si>
    <t>Pocillos  (Compra)</t>
  </si>
  <si>
    <t>Juego de cubiertos  (Compra)</t>
  </si>
  <si>
    <t>- Elaborados en acero inoxidable
- Incluye cuchillo (longitud mínima de 20 cm), tenedor (longitud mínima de 17 cm), cuchara (longitud mínima de 17 cm), cuchara pequeña para postre (longitud mínima de 12 cm) y tenedor pequeño (longitud mínima de 12 cm).</t>
  </si>
  <si>
    <t>Juego de 6 puestos</t>
  </si>
  <si>
    <t>Terno para café (Arrendamiento)</t>
  </si>
  <si>
    <t>-Pocillo y plato de porcelana blanca para café.
- Sin diseño
- Plato de mínimo 12 cm de diámetro y pocillo de mínimo 150 cc
- No se debe rayar con el uso de los cubiertos y
debe ser apta para uso en horno microondas.</t>
  </si>
  <si>
    <t>Juego</t>
  </si>
  <si>
    <t>Terno para café (Compra)</t>
  </si>
  <si>
    <t>Pocillo y plato de porcelana blanca para café.
 Sin diseño
 Plato de mínimo 12 cm de diámetro y pocillo de mínimo 150 cc
 No se debe rayar con el uso de los cubiertos y
debe ser apta para uso en horno microondas.</t>
  </si>
  <si>
    <t>Vajilla  1 (Arrendamiento)</t>
  </si>
  <si>
    <t>- Elaborada en porcelana
- Sin diseño
- Compuesta de 8 puestos y cuatro piezas por puesto:
- Plato para cena (diámetro mínimo de 26 cm)
- Plato hondo (diámetro mínimo de 20 cm)
- Plato auxiliar (diámetro mínimo de 16 cm)
- Taza (capacidad mínima es de 280 cc)
- Apta para uso en horno microondas.</t>
  </si>
  <si>
    <t>Vajilla  1 (Compra)</t>
  </si>
  <si>
    <t>Vajilla  2 (Arrendamiento)</t>
  </si>
  <si>
    <t>- Elaborada en porcelana
- Sin diseño
- Compuesta de 4 puestos y cuatro piezas por puesto:
- Plato para cena (diámetro mínimo de 26 cm)
- Plato hondo (diámetro mínimo de 20 cm)
- Plato auxiliar (diámetro mínimo de 16 cm)
- Taza (capacidad mínima es de 280 cc)
- Apta para uso en horno microondas.</t>
  </si>
  <si>
    <t>Vajilla  2 (Compra)</t>
  </si>
  <si>
    <t>Cuchillo de cocina  (Compra)</t>
  </si>
  <si>
    <t>- Hoja elaborada en acero inoxidable de mínimo 20 cm de largo y 2 cm de ancho.
- Mango liso elaborado en polipropileno negro</t>
  </si>
  <si>
    <t>Tijeras de cocina  (Compra)</t>
  </si>
  <si>
    <t>- Hojas elaborada en acero inoxidable de mínimo 20 cm de largo
- Mango de plástico liso</t>
  </si>
  <si>
    <t>Jarra  (Arrendamiento)</t>
  </si>
  <si>
    <t>- Elaborada en vidrio
- Sin diseño
- Capacidad mínima de 1,5 litros</t>
  </si>
  <si>
    <t>Jarra  (Compra)</t>
  </si>
  <si>
    <t>Combustible para Cortadora de césped, sopladora de hojas y guadañas (Compra)</t>
  </si>
  <si>
    <t xml:space="preserve"> - Gasolina </t>
  </si>
  <si>
    <t>Galón</t>
  </si>
  <si>
    <t>Organizador  porta escobas  (Compra)</t>
  </si>
  <si>
    <t>- Con capacidad para organizar mínimo 4 escobas de manera simultánea</t>
  </si>
  <si>
    <t>Espátula  (Compra)</t>
  </si>
  <si>
    <t>- Metálica con mango de plástico
- Con hoja de mínimo 2 pulgadas de largo</t>
  </si>
  <si>
    <t>Haraganes 1  (Compra)</t>
  </si>
  <si>
    <t>- Para limpiar vidrios
- Con banda de goma con longitud mínima de 25 cm.
- Mango con longitud mínima de 60 cm</t>
  </si>
  <si>
    <t>Haraganes 2  (Compra)</t>
  </si>
  <si>
    <t xml:space="preserve"> Para limpiar vidrios
 Con banda de goma con longitud mínima de 50 cm.
 Mango metálico extensible con longitud mínima
de 60 cm y máxima de 150 cm</t>
  </si>
  <si>
    <t>Haraganes 3  (Compra)</t>
  </si>
  <si>
    <t>- Para escurrir pisos
- Con banda de goma con longitud mínima de 35 cm</t>
  </si>
  <si>
    <t>Haraganes 4  (Compra)</t>
  </si>
  <si>
    <t xml:space="preserve"> Para escurrir pisos
Con banda de goma con longitud mínima de 50 cm.</t>
  </si>
  <si>
    <t>Balde (Arrendamiento)</t>
  </si>
  <si>
    <t xml:space="preserve">- Capacidad mínima de 10 litros
- Con manija móvil
- Con "pico" antiderrames
- Disponibles en diferentes colores
- Elaborado en material reciclable
- Marcado de acuerdo con la norma ISO 11469 y ISO 1043. </t>
  </si>
  <si>
    <t>Balde (Compra)</t>
  </si>
  <si>
    <t xml:space="preserve"> Capacidad mínima de 10 litros
 Con manija móvil
 Con "pico" antiderrames
 Disponibles en diferentes colores
 Elaborado en material reciclable
 Marcado de acuerdo con la norma ISO 11469 y ISO 1043. </t>
  </si>
  <si>
    <t>Plato Biodegradable 1 (Compra)</t>
  </si>
  <si>
    <t>- Plato pando, circular, sin divisiones 
- Biodegradable  
-Tamaño: 15 cm
- Sin ala
- Elaborado con la fibra de caña de azúcar o almidón de maíz
- No debe contener PVC o Poliestireno expandido u otros plásticos de un solo uso tanto en el envase como en el embalaje.</t>
  </si>
  <si>
    <t>Plato Biodegradable 2 (Compra)</t>
  </si>
  <si>
    <t>- Plato pando, circular, sin divisiones 
- Biodegradable  
-Tamaño: 18 cm
- Sin ala
- Elaborado con la fibra de caña de azúcar o almidón de maíz
- No debe contener PVC o Poliestireno expandido u otros plásticos de un solo uso tanto en el envase como en el embalaje.</t>
  </si>
  <si>
    <t>Pocillos 1 (Arrendamiento)</t>
  </si>
  <si>
    <t>- Elaborado en porcelana blanca para café
- De mínimo 170 cc
- No se debe rayar con el uso de cubiertos
- Debe ser apta para uso en microondas</t>
  </si>
  <si>
    <t>Pocillos 1 (Compra)</t>
  </si>
  <si>
    <t>Terno para café  (Arrendamiento)</t>
  </si>
  <si>
    <t>-Pocillo y plato de porcelana blanca para café.
- Plato de mínimo 13 cm de diámetro y pocillo de mínimo 170 cc
- No se debe rayar con el uso de los cubiertos y
debe ser apta para uso en horno microondas.</t>
  </si>
  <si>
    <t>Terno para café  (Compra)</t>
  </si>
  <si>
    <t>Cafetera 1 (Arrendamiento)</t>
  </si>
  <si>
    <t xml:space="preserve"> - Capacidad mínima de 12 tazas
 - 120 voltios
 - Potencia mínima de 900 w
 - Filtro permanente
 - Material plástico
 - Jarra de vidrio</t>
  </si>
  <si>
    <t>Cafetera 1 (Compra)</t>
  </si>
  <si>
    <t>Vajilla  3 (Arrendamiento)</t>
  </si>
  <si>
    <t>- Elaborada en porcelana
- Compuesta de 8 puestos y cuatro piezas por puesto:
- Plato para cena (diámetro mínimo de 26 cm)
- Plato hondo (diámetro mínimo de 20 cm)
- Plato auxiliar (diámetro mínimo de 17 cm)
- Taza (capacidad mínima es de 280 cc)
- Apta para uso en horno microondas</t>
  </si>
  <si>
    <t>Vajilla  3 (Compra)</t>
  </si>
  <si>
    <t>Vajilla  4 (Arrendamiento)</t>
  </si>
  <si>
    <t>- Elaborada en porcelana
- Compuesta de 4 puestos y cuatro piezas por puesto:
- Plato para cena (diámetro mínimo de 26 cm)
- Plato hondo (diámetro mínimo de 20 cm)
- Plato auxiliar (diámetro mínimo de 17 cm)
- Taza (capacidad mínima es de 280 cc)
- Apta para uso en horno microondas</t>
  </si>
  <si>
    <t>Vajilla  4 (Compra)</t>
  </si>
  <si>
    <t>Portavasos (Arrendamiento)</t>
  </si>
  <si>
    <t>- Elaborado en acero inoxidable
- Diámetro mínimo de 12 cm</t>
  </si>
  <si>
    <t>Portavasos (Compra)</t>
  </si>
  <si>
    <t xml:space="preserve"> Elaborada en acero inoxidable
 Sin diseño
 Dimensiones mínimas de 37 cm de largo por 27 cm de ancho</t>
  </si>
  <si>
    <t>Bandeja 1 (Compra)</t>
  </si>
  <si>
    <t xml:space="preserve"> Elaborada en acero inoxidable
 Sin diseño
 Dimensiones mínimas de 50 cm de largo por 33 cm de ancho</t>
  </si>
  <si>
    <t>Bandeja 2 (Compra)</t>
  </si>
  <si>
    <t>Bandeja 3 (Arrendamiento)</t>
  </si>
  <si>
    <t>- Elaborada en plástico
- Superficie antideslizante
- Diseño sencillo
- Dimensiones mínimas de 37cm de largo por 27 cm de ancho
- Color blanco o beige</t>
  </si>
  <si>
    <t>Bandeja 3 (Compra)</t>
  </si>
  <si>
    <t>Bandeja 4 (Arrendamiento)</t>
  </si>
  <si>
    <t>- Elaborada en plástico
- Superficie antideslizante
- Diseño sencillo
- Dimensiones mínimas de 45 cm de largo por 35 cm de ancho
- Color blanco o beige</t>
  </si>
  <si>
    <t>Bandeja 4 (Compra)</t>
  </si>
  <si>
    <t xml:space="preserve"> Elaborada en aluminio
 Capacidad mínima de 2 litros</t>
  </si>
  <si>
    <t>Olleta (Compra)</t>
  </si>
  <si>
    <t>Olla 1 (Arrendamiento)</t>
  </si>
  <si>
    <t>- Elaborada en aluminio
- Con tapa en aluminio
- Capacidad mínima de 3 litros</t>
  </si>
  <si>
    <t>Olla 1 (Compra)</t>
  </si>
  <si>
    <t xml:space="preserve"> Elaborada en aluminio
 Con tapa en aluminio
 Capacidad mínima de 5 litros</t>
  </si>
  <si>
    <t>Olla 2 (Compra)</t>
  </si>
  <si>
    <t>Escurridor para platos (Arrendamiento)</t>
  </si>
  <si>
    <t>- Elaborado en plástico
- Con rejilla, portacubiertos y bandeja plástica de goteo
- Dimensiones mínimas de 40 cm de largo y 30 cm de ancho</t>
  </si>
  <si>
    <t>Escurridor para platos (Compra)</t>
  </si>
  <si>
    <t>Soporte para Botellón de agua (Compra)</t>
  </si>
  <si>
    <t>Metálico
 Plegable</t>
  </si>
  <si>
    <t>Carro exprimidor de trapero 1 (Arrendamiento)</t>
  </si>
  <si>
    <t xml:space="preserve"> - Elaborado en plástico
 - Capacidad mínima de 24 litros
 - Con cuatro ruedas y manija de escurridor</t>
  </si>
  <si>
    <t>Carro exprimidor de trapero 1 (Compra)</t>
  </si>
  <si>
    <t xml:space="preserve"> Elaborado en plástico
 Capacidad mínima de 35 litros
 Con cuatro ruedas y manija de escurridor</t>
  </si>
  <si>
    <t>Carro exprimidor de trapero 2 (Compra)</t>
  </si>
  <si>
    <t>Carros para limpieza (Arrendamiento)</t>
  </si>
  <si>
    <t>- Tamaño mínimo de 70 cm de largo por 50 cm de ancho por 95 cm de alto
- Mínimo dos bandejas de servicio
- Con mínimo una bolsa de limpieza
- Con plataforma para balde escurridor
- Con cuatro ruedas antirayones
- Ruedas delanteras con ángulo de giro de 360 grados</t>
  </si>
  <si>
    <t>Carros para limpieza (Compra)</t>
  </si>
  <si>
    <t xml:space="preserve"> Elaborado en plástico
 Mínimo dos estantes para distribución de bebidas
 Tamaño mínimo de 80 cm de largo por 47 cm de ancho por 90 cm de alto</t>
  </si>
  <si>
    <t>Carro de bebidas (Compra)</t>
  </si>
  <si>
    <t>Escalera 1 (Arrendamiento)</t>
  </si>
  <si>
    <t xml:space="preserve"> - Cuerpo plástico
- Altura mínima de mínimo dos pasos.</t>
  </si>
  <si>
    <t>Escalera 1 (Compra)</t>
  </si>
  <si>
    <t>Cuerpo Metálico
 Altura mínima demínimo dos pasos.</t>
  </si>
  <si>
    <t>Escalera 2 (Compra)</t>
  </si>
  <si>
    <t>Escalera 3 (Arrendamiento)</t>
  </si>
  <si>
    <t xml:space="preserve"> - Cuerpo Metálico
- Altura mínima de mínimo cuatro pasos.</t>
  </si>
  <si>
    <t>Escalera 3 (Compra)</t>
  </si>
  <si>
    <t>Escalera 4 (Arrendamiento)</t>
  </si>
  <si>
    <t xml:space="preserve"> - Cuerpo Metálico
- Altura mínima de mínimo seis pasos. </t>
  </si>
  <si>
    <t>Escalera 4 (Compra)</t>
  </si>
  <si>
    <t>Cuerpo en aluminio, tipo tijera
 Altura mínima de 5 escalones
 Con capacidad de resistencia a una carga concentrada en cualquier punto del escalón de 127 kg
 Con tapones de caucho antideslizantes</t>
  </si>
  <si>
    <t>Escalera de tipo industrial (Compra)</t>
  </si>
  <si>
    <t>Mangueras 1 (Arrendamiento)</t>
  </si>
  <si>
    <t xml:space="preserve"> - Longitud mínima de 20 metros
 - Elaborada en PVC
 - Con terminales roscadas en ambos extremos
 - Incluye accesorios: acoples y pistola </t>
  </si>
  <si>
    <t>Mangueras 1 (Compra)</t>
  </si>
  <si>
    <t xml:space="preserve"> Longitud mínima de 30 metros
 Elaborada en PVC
 Con terminales roscadas en ambos extremos
 Incluye accesorios: acoples y pistola</t>
  </si>
  <si>
    <t>Mangueras 2 (Compra)</t>
  </si>
  <si>
    <t xml:space="preserve"> Longitud mínima de 50 metros
 Elaborada en PVC
 Con terminales roscadas en ambos extremos
 Incluye accesorios: acoples y pistola</t>
  </si>
  <si>
    <t>Mangueras 3 (Compra)</t>
  </si>
  <si>
    <t>Contenedor de basura 1 (Compra)</t>
  </si>
  <si>
    <t>- Elaborado en plástico
- Tapa con pedal
- Capacidad mínima de 10 litros
- Color negro
- Impresión de la palabra "Plásticos" en la cara delantera del contenedor</t>
  </si>
  <si>
    <t>Contenedor de basura 2 (Compra)</t>
  </si>
  <si>
    <t>- Elaborado en plástico
- Tapa con pedal
- Capacidad mínima de 10 litros
- Color blanco
- Impresión de las palabras "Papel y cartón" en la cara delantera del contenedor</t>
  </si>
  <si>
    <t>Contenedor de basura 3 (Compra)</t>
  </si>
  <si>
    <t>- Elaborado en plástico
- Tapa con pedal
- Capacidad mínima de 10 litros
- Color verde
- Impresión de las palabras  "No reciclables" u "Orgánicos" u "Ordinarios" en la cara delantera del contenedor</t>
  </si>
  <si>
    <t>Contenedor de basura 4 (Compra)</t>
  </si>
  <si>
    <t>- Elaborado en plástico
- Tapa con pedal
- Capacidad mínima de 10 litros
- Color rojo
- Impresión de las palabras "Riesgo biológico" o "Residuos peligrosos" en la cara delantera del contenedor</t>
  </si>
  <si>
    <t>Contenedor de basura 5 (Compra)</t>
  </si>
  <si>
    <t>- Elaborado en plástico
- Tapa con pedal
- Capacidad mínima de 20 litros
- Color negro
- Impresión de la palabra "Plásticos" en la cara delantera del contenedor</t>
  </si>
  <si>
    <t>Contenedor de basura 6 (Compra)</t>
  </si>
  <si>
    <t>- Elaborado en plástico
- Tapa con pedal
- Capacidad mínima de 20 litros
- Color blanco
- Impresión de las palabras "Papel y cartón" en la cara delantera del contenedor</t>
  </si>
  <si>
    <t>Contenedor de basura 7 (Compra)</t>
  </si>
  <si>
    <t>- Elaborado en plástico
- Tapa con pedal
- Capacidad mínima de 20 litros
- Color verde
- Impresión de las palabras  "No reciclables" u "Orgánicos" u "Ordinarios" en la cara delantera del contenedor</t>
  </si>
  <si>
    <t>Contenedor de basura 8 (Compra)</t>
  </si>
  <si>
    <t>- Elaborado en plástico
- Tapa con pedal
- Capacidad mínima de 20 litros
- Color rojo
- Impresión de las palabras "Riesgo biológico" o "Residuos peligrosos" en la cara delantera del
contenedor</t>
  </si>
  <si>
    <t>Contenedor de basura 9 (Compra)</t>
  </si>
  <si>
    <t>- Elaborado en plástico
- Con tapa en vaivén
- Capacidad mínima de 50 litros
- Color negro
- Impresión de la palabra "Plásticos" en la cara delantera del contenedor</t>
  </si>
  <si>
    <t>Contenedor de basura 10 (Compra)</t>
  </si>
  <si>
    <t>- Elaborado en plástico
- Con tapa en vaivén
- Capacidad mínima de 50 litros
- Color blanco
- Impresión de las palabras "Papel y cartón" en la cara delantera del contenedor</t>
  </si>
  <si>
    <t>Contenedor de basura 11 (Compra)</t>
  </si>
  <si>
    <t>- Elaborado en plástico
- Con tapa en vaivén
- Capacidad mínima de 50 litros
- Color verde
- Impresión de las palabras  "No reciclables" u "Orgánicos" u "Ordinarios" en la cara delantera del contenedor</t>
  </si>
  <si>
    <t>Contenedor de basura 12 (Compra)</t>
  </si>
  <si>
    <t>- Elaborado en plástico
- Con tapa en vaivén
- Capacidad mínima de 50 litros
- Color rojo
- Impresión de las palabras "Riesgo biológico" o "Residuos peligrosos" en la cara delantera del contenedor</t>
  </si>
  <si>
    <t>Contenedor de basura 13 (Compra)</t>
  </si>
  <si>
    <t>- Elaborado en plástico
-- Con tapa en vaivén
- Capacidad mínima de 120 litros
- Color negro
- Impresión de la palabra "Plásticos" en la cara delantera del contenedor</t>
  </si>
  <si>
    <t>Contenedor de basura 14 (Compra)</t>
  </si>
  <si>
    <t>- Elaborado en plástico
- Con tapa en vaivén
- Capacidad mínima de 120 litros
- Color blanco
- Impresión de las palabras "Papel y cartón" en la cara delantera del contenedor</t>
  </si>
  <si>
    <t>Contenedor de basura 15 (Compra)</t>
  </si>
  <si>
    <t>- Elaborado en plástico
- Con tapa en vaivén
- Capacidad mínima de 120 litros
- Color verde
- Impresión de las palabras "No reciclables" u "Orgánicos" u "Ordinarios" en la cara delantera del contenedor</t>
  </si>
  <si>
    <t>Contenedor de basura 16 (Compra)</t>
  </si>
  <si>
    <t>- Elaborado en plástico
- Con tapa en vaivén
- Capacidad mínima de 120 litros
- Color rojo
- Impresión de las palabras "Riesgo biológico" o
"Residuos peligrosos" en la cara delantera del contenedor</t>
  </si>
  <si>
    <t>Contenedor de basura 17 (Compra)</t>
  </si>
  <si>
    <t>- Elaborado en plástico
- Con tapa
- Capacidad mínima de 180 litros
- Color negro
- Con ruedas traseras macizas y manijas</t>
  </si>
  <si>
    <t>Contenedor de basura 18 (Compra)</t>
  </si>
  <si>
    <t>- Elaborado en plástico
- Con tapa
- Capacidad mínima de 180 litros
- Color verde
- Con ruedas traseras macizas y manijas</t>
  </si>
  <si>
    <t>Contenedor de basura 19 (Compra)</t>
  </si>
  <si>
    <t>- Elaborado en plástico
- Con tapa
- Capacidad mínima de 180 litros
- Color blanco
- Con ruedas traseras macizas y manijas</t>
  </si>
  <si>
    <t>Contenedor de basura 20 (Compra)</t>
  </si>
  <si>
    <t>- Elaborado en plástico
- Con tapa
- Capacidad mínima de 240 litros
- Color negro
- Con ruedas traseras macizas y manijas</t>
  </si>
  <si>
    <t>Contenedor de basura 21 (Compra)</t>
  </si>
  <si>
    <t>- Elaborado en plástico
- Con tapa
- Capacidad mínima de 240 litros
- Color verde
- Con ruedas traseras macizas y manijas</t>
  </si>
  <si>
    <t>Contenedor de basura 22 (Compra)</t>
  </si>
  <si>
    <t>- Elaborado en plástico
- Con tapa
- Capacidad mínima de 240 litros
- Color blanco
- Con ruedas traseras macizas y manijas</t>
  </si>
  <si>
    <t>Contenedor de basura 23 (Compra)</t>
  </si>
  <si>
    <t>- Elaborado en plástico
- Con tapa
- Capacidad mínima de 340 litros
- Color negro
- Con ruedas traseras macizas y manijas</t>
  </si>
  <si>
    <t>Contenedor de basura 24 (Compra)</t>
  </si>
  <si>
    <t>- Elaborado en plástico
- Con tapa
- Capacidad mínima de 340 litros
- Color verde
- Con ruedas traseras macizas y manijas</t>
  </si>
  <si>
    <t>Contenedor de basura 25 (Compra)</t>
  </si>
  <si>
    <t>- Elaborado en plástico
- Con tapa
- Capacidad mínima de 340 litros
- Color blanco
- Con ruedas traseras macizas y manijas</t>
  </si>
  <si>
    <t>Contenedor de basura 26 (Compra)</t>
  </si>
  <si>
    <t>- Elaborado en plástico
- Con tapa
- Capacidad mínima de 760 litros
- Color negro
- Con ruedas traseras macizas y manijas</t>
  </si>
  <si>
    <t>Contenedor de basura 27 (Compra)</t>
  </si>
  <si>
    <t>- Elaborado en plástico
- Con tapa
- Capacidad mínima de 760 litros
- Color verde
- Con ruedas traseras macizas y manijas</t>
  </si>
  <si>
    <t>Contenedor de basura 28 (Compra)</t>
  </si>
  <si>
    <t>- Elaborado en plástico
- Con tapa
- Capacidad mínima de 760 litros
- Color blanco
- Con ruedas traseras macizas y manijas</t>
  </si>
  <si>
    <t>Contenedor de basura 29 (Compra)</t>
  </si>
  <si>
    <t>- Elaborado en plástico
- Con tapa
- Capacidad mínima de 1.000 litros
- Color blanco
- Con ruedas traseras macizas y manijas</t>
  </si>
  <si>
    <t>Contenedor de basura 30 (Compra)</t>
  </si>
  <si>
    <t>- Elaborado en plástico
- Con tapa
- Capacidad mínima de 1.000 litros
- Color verde
- Con ruedas traseras macizas y manijas</t>
  </si>
  <si>
    <t>Punto Ecológico 1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</si>
  <si>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20 litros para cada contenedor
- Contenedores elaborados en plástico
- Debe cumplir con lo estipualdo en el artíuculo 4° de la Resolución 2184 del 26 de diciembre de 2019</t>
  </si>
  <si>
    <t>Punto Ecológico 2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</si>
  <si>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</si>
  <si>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3 (Compra)</t>
  </si>
  <si>
    <t>- Base metálica con techo en material metálico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</si>
  <si>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4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</si>
  <si>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</si>
  <si>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5 (Compra)</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</si>
  <si>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</si>
  <si>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6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</si>
  <si>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</si>
  <si>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Papelera 1 (Compra)</t>
  </si>
  <si>
    <t>- Cuerpo metálico enmallado sin tapa
- Con capacidad mínima de 10 litros
- Diseño para oficina</t>
  </si>
  <si>
    <t>Papelera 2 (Compra)</t>
  </si>
  <si>
    <t>- Cuerpo plástico
- Con mecanismo de pedal para abrir y cerrar tapa
- Con capacidad mínima de 10 litros
- Diseño para baño</t>
  </si>
  <si>
    <t>Papelera 3 (Compra)</t>
  </si>
  <si>
    <t>- Cuerpo plástico sin tapa
- Con capacidad mínima de 10 litros
- Diseño para baño</t>
  </si>
  <si>
    <t>Papelera 4 (Compra)</t>
  </si>
  <si>
    <t>- Papelera de oficina de plástico reciclado
- Color gris o negro
- Con capacidad de 5 litros
- Diámetro: 22 cm aproxi. Largo: 24 cm. 
No debe contener PVC o Poliestireno expandido u otros plásticos de un solo uso tanto en el envase como en el embalaje.</t>
  </si>
  <si>
    <t>Papelera residuos peligrosos 1 (Compra)</t>
  </si>
  <si>
    <t>- Cuerpo plástico
- Con mecanismo de pedal para abrir y cerrar tapa
- Con capacidad mínima de 10 litros
- Diseño para baño
- Color rojo
- Con las palabras "Riesgo biológico" en la cara frontal</t>
  </si>
  <si>
    <t>Papelera residuos peligrosos 2 (Compra)</t>
  </si>
  <si>
    <t>- Cuerpo plástico
- Con mecanismo de pedal para abrir y cerrar tapa
- Con capacidad mínima de 20 litros
- Diseño para baño
- Color rojo
- Con las palabras "Riesgo biológico" en la cara frontal</t>
  </si>
  <si>
    <t>Señales peatonales de prevención y atención 1 (Compra)</t>
  </si>
  <si>
    <t>- Elaborado en plástico
- Tipo tijera, plegable
- Tamaño mínimo de 25 cm de ancho por 60 cm de alto por 22 cm de largo.
- Impresión en las dos caras con las palabras "Cerrado" o "Área cerrada" o "No pasar".
- Color amarillo</t>
  </si>
  <si>
    <t>Señales peatonales de prevención y atención 2 (Compra)</t>
  </si>
  <si>
    <t>- Elaborado en plástico
- Tipo tijera, plegable
- Tamaño mínimo de 25 cm de ancho por 60 cm de alto por 22 cm de largo.
- Impresión en las dos caras con las palabras "Cuidado".
- Color amarillo
- Acordes con la reglamentación establecida por la NTC 1461</t>
  </si>
  <si>
    <t>Señales peatonales de prevención y atención 3 (Compra)</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</si>
  <si>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</si>
  <si>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Dispensador para papel higiénico 1 (Compra)</t>
  </si>
  <si>
    <t>- Elaborado en plástico ABS blanco
- Para rollo de 250 metros y 400 metros
- Con visor para ver el estado del rollo
- Con cerradura y llave
- Incluye los elementos necesarios para realizar la instalación en pared
-Incluye el costo de instalación.</t>
  </si>
  <si>
    <t>Dispensador para papel higiénico 2 (Compra)</t>
  </si>
  <si>
    <t xml:space="preserve"> Elaborado en acero inoxidable
 Para rollo de 250 metros y 400 metros
 Con visor para ver el estado del rollo
 Con cerradura y llave
 Incluye los elementos necesarios para realizar la instalación en pared
Incluye el costo de instalación.</t>
  </si>
  <si>
    <t>Dispensador de toallas de manos 1 (Compra)</t>
  </si>
  <si>
    <t>- Elaborado en plástico ABS
- Para toallas de papel en rollo de 150 metros y 250 metros
- Con mecanismo accionador de palanca, perilla giratoria o para halar con la mano.
- Con cuchilla serrada para cortar la toalla de manos
- Con cerradura y llave
- Incluye los elementos necesarios para realizar la instalación en pared
 - Incluye el costo de instalación</t>
  </si>
  <si>
    <t>Dispensador de toallas de manos 2 (Compra)</t>
  </si>
  <si>
    <t>- Elaborado en plástico ABS
- Para toallas de papel interdobladas con capacidad mínima de 300 toallas
- Con mecanismo para halar con la mano.
- Con cerradura y llave
- Incluye los elementos necesarios para realizar la instalación en pared
-Incluye el costo de instalación</t>
  </si>
  <si>
    <t>Dispensador de toallas de manos 3 (Compra)</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</si>
  <si>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</si>
  <si>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Dispensador de jabón líquido 1 (Compra)</t>
  </si>
  <si>
    <t>- Elaborado en plástico ABS blanco
- Con válvula manual anticorrosiva.
- Uso habilitado para cualquier jabón líquido con capacidad mínima de 500 cc
- Incluye los elementos necesarios para realizar la instalación en pared
-Incluye el costo de instalación</t>
  </si>
  <si>
    <t>Dispensador de jabón líquido 2 (Compra)</t>
  </si>
  <si>
    <t>- Elaborado en plástico ABS blanco
- Con sensor para suministro de jabón
- Uso habilitado para cualquier jabón líquido con capacidad mínima de 500 ml
- Incluye los elementos necesarios para realizar la instalación en pared
 -Incluye el costo de instalación'</t>
  </si>
  <si>
    <t>Dispensador de jabón líquido 3 (Compra)</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</si>
  <si>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</si>
  <si>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Dispensador de jabón líquido 4 (Compra)</t>
  </si>
  <si>
    <t>- Elaborado en acero inoxidable
- Con sensor para suministro de jabón
- Uso habilitado para cualquier jabón líquido con capacidad mínima de 800 ml
- Con cerradura y llave
- Incluye los elementos necesarios para realizar la instalación en pared
 -Incluye el costo de instalación'</t>
  </si>
  <si>
    <t>Dispensador para ambientador (Compra)</t>
  </si>
  <si>
    <t xml:space="preserve"> - Elaborado en plástico ABS blanco
 - Con dispersión programable de líquido ambientador
 - Capacidad mínima de 250 ml
- Incluye los elementos necesarios para realizar la instalación en pared
- Incluye aerosol para recarga mensual
-Incluye el costo de instalación</t>
  </si>
  <si>
    <t>Dispensador goteo por gravedad y recarga (Compra)</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</si>
  <si>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</si>
  <si>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Dispensador de agua (Compra)</t>
  </si>
  <si>
    <t xml:space="preserve">- Dispensador de agua fría y caliente
- Sistema de filtración multinivel
- Uso de gas refrigerante seguro para la capa de ozono
</t>
  </si>
  <si>
    <t>Dispensador de agua con botellón (Compra)</t>
  </si>
  <si>
    <t xml:space="preserve">- Dispensador de agua fría y caliente
- Uso de gas refrigerante seguro para la capa de ozono
</t>
  </si>
  <si>
    <t>Greca para tintos 1 (Arrendamiento)</t>
  </si>
  <si>
    <t>- Eléctrica de 110 v
- Cuerpo elaborada en lámina de acero inoxidable de calibre 24 como mínimo
- Resistencias elaboradas en cobre
- Terminales elaboradas en cobre remplazables con soldadura
- Mínimo dos servicios
- Con su respectivo filtro y aro
 - Con capacidad para 30 tintos</t>
  </si>
  <si>
    <t>Greca para tintos 1 (Compra)</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</si>
  <si>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</si>
  <si>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Greca para tintos 2 (Compra)</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</si>
  <si>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</si>
  <si>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Greca para tintos 3 (Compra)</t>
  </si>
  <si>
    <t>Máquina de filtrado para café (Compra)</t>
  </si>
  <si>
    <t>- Cafetera de método filtrado de café por goteo con conexión directamente a la red de agua o con opción de usarse completamente portátil sin requerir conexión directa a la red de agua
- Grifo para dispensar agua caliente
- Capacidad para termos de 1.9 a 3L, capacidad de 14 litros hora
- Incluye termo con capacidad de mantener la bebida caliente, conservando la calidad de la taza de café durante mínimo 3 horas
- Revestimiento de acero inoxidable con bomba tipo dispensador 
- Capacidad de 2,5 0 3,0 litros.</t>
  </si>
  <si>
    <t>Horno microondas (Arrendamiento)</t>
  </si>
  <si>
    <t>- Potencia mínima de 900 w
- Tamaño mínimo de 30 cm de ancho por 25 cm de alto por 35 cm de profundidad.
- Con bandera giratoria de cristal templado
- Con programas automáticos</t>
  </si>
  <si>
    <t>Horno microondas (Compra)</t>
  </si>
  <si>
    <t xml:space="preserve"> Potencia mínima de 1000 w
 Tamaño mínimo de 30 cm de ancho por 30 cm de alto por 40 cm de profundidad.
 Descongelamiento automático
 Con programas automáticos</t>
  </si>
  <si>
    <t>Horno microondas de tipo industrial (Compra)</t>
  </si>
  <si>
    <t xml:space="preserve"> De dos puestos
 Lámina esmaltada
 Eléctrica
 Con perilla para graduar mínimo 3 niveles de calor</t>
  </si>
  <si>
    <t>Estufa 1 (Compra)</t>
  </si>
  <si>
    <t>Estufa 2 (Arrendamiento)</t>
  </si>
  <si>
    <t>- De dos puestos
- Lámina esmaltada- A gas
- Con perilla y quemador para graduar la llama
- Con parrilla</t>
  </si>
  <si>
    <t>Estufa 2 (Compra)</t>
  </si>
  <si>
    <t>- De dos puestos
- Lámina esmaltada
- A gas
- Con perilla y quemador para graduar la llama
- Con parrilla</t>
  </si>
  <si>
    <t>Extensión eléctrica 1 (Compra)</t>
  </si>
  <si>
    <t>- De mínimo 25 metros de longitud 
- Tipo industrial
- Recubierta en plástico PVC
- Con clavijas
- Calibre 12</t>
  </si>
  <si>
    <t>Extensión eléctrica 2 (Compra)</t>
  </si>
  <si>
    <t>- De mínimo 30 metros de longitud
- Recubierta en plástico PVC
- Con clavijas
- Tipo industrial
- Calibre 12</t>
  </si>
  <si>
    <t>Aspiradora 1 (Arrendamiento)</t>
  </si>
  <si>
    <t>- De uso industrial para aspirado en seco y húmedo
- Motor con potencia 1200 w y 1400 w
- Capacidad entre 15 y 20 litros
- Cable de potencia con longitud mínima de 5m
- Accesorios mínimos: manguera puntera, 2 tubos para extensión, cepillos para tapizados</t>
  </si>
  <si>
    <t>Aspiradora 1 (Compra)</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</si>
  <si>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</si>
  <si>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Aspiradora 2 (Compra)</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</si>
  <si>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</si>
  <si>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Lavabrilladora de pisos 1 (Compra)</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</si>
  <si>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</si>
  <si>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Lavabrilladora de pisos 2 (Compra)</t>
  </si>
  <si>
    <t xml:space="preserve"> De uso industrial
 Motores con potencia mínima de 1,5 hp y velocidad mínima de 1500 rpm.
 Con manijas dobles
 Con interruptor de apagado de seguridad
 Diámetro mínimo de 20"
 Cable de potencia con longitud mínima de 8m
 Accesorios mínimosportapad</t>
  </si>
  <si>
    <t>Brilladora de alta revolución (Compra)</t>
  </si>
  <si>
    <t>Motor con potencia de mínimo 1100 w y velocidad mínima de 175 revoluciones por minuto.
 Capacidad mínima de 5 litros
 Cable de potencia con longitud mínima de 8m
 Para lavar en seco o a vapor
 Diámetro mínimo de 16"</t>
  </si>
  <si>
    <t>Lavadora de alfombras y tapetes 1 (Compra)</t>
  </si>
  <si>
    <t>Lavadora de alfombras y tapetes 2 (Arrendamiento)</t>
  </si>
  <si>
    <t>- De inyección y extracción con dos motores, cada uno con una potencia entre 1200 w y 1400 w.
- Capacidad mínima de 30 litros
- Cable de potencia con longitud mínima de 8m
- Diámetro mínimo de 20"</t>
  </si>
  <si>
    <t>Lavadora de alfombras y tapetes 2 (Compra)</t>
  </si>
  <si>
    <t>Motor eléctrico y potencia de mínimo 2.2 Kw1.450 RPM y entre 2.5 HP y 3.5 HP.
Presión de salida de agua entre 900 psi y 1900 psi.
Con ruedas</t>
  </si>
  <si>
    <t>Hidrolavadora Industrial (Compra)</t>
  </si>
  <si>
    <t>Potenciado por motor a gasolina o eléctrico inalámbrico
Caudal mínimo de 380 cfm / 645m3/h
Autonomía mínima de 30 minutos
Intensidad máxima de sonido de 100dB
Incluye combustible para su funcionamiento (Máximo 3 galones)</t>
  </si>
  <si>
    <t>Sopladora de hojas (Compra)</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</si>
  <si>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</si>
  <si>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Sonda para inodoro (Compra)</t>
  </si>
  <si>
    <t>Girador Manual (Compra)</t>
  </si>
  <si>
    <t>-Para destapar desagües entre 1/2" a 1 1/2".
-Collar antideslizante que agarra y suelta el cable
-Cable de núcleo hueco de mpinimo 5/16" × 25 pies (7,6 m) con barrena de cabeza de bulbo.
-Tambor rotativo de plástico moldeado
-Diseño de tambor abierto que permite el acceso al cable</t>
  </si>
  <si>
    <t>Sonda para fregaderos (Compra)</t>
  </si>
  <si>
    <t>Sonda Eléctrica para desagües de 3/4” (20 mm) a 2-1/2” (64 mm)
-El equipo propulsor de velocidad variable gira el cable a 0-600 RPM.
-Capacidad del tambor: 50 pies (15 m) de 5⁄16" (8 mm) o 35 pies (11 m) de 3⁄8" (10 mm).
-El núcleo interior revestido de vinilo impide que se oxide por contacto con el resorte.</t>
  </si>
  <si>
    <t>Cortadora de cesped  (Arrendamiento)</t>
  </si>
  <si>
    <t>-Cuenta con una cuchilla de 32 a 38 cm.
-Chasis de acero con recolector o salida lateral.
-Ruedas de 135 mm
-Con  potencia entre 5 hp a 25 hp
-Ancho de corte de 18 a 183 cm.
-Peso entre 10 kg y 13,5 kg
-Tiene manilla de seguridad
-Incluye combustible para su funcionamiento (Máximo 3 galones)</t>
  </si>
  <si>
    <t>Cortadora de cesped  (Compra)</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</si>
  <si>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</si>
  <si>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TOTAL INSUMOS</t>
  </si>
  <si>
    <t>TOTAL A PAGAR</t>
  </si>
  <si>
    <t>SUPERCADE Suba</t>
  </si>
  <si>
    <t>LAVABRILLADORA DE 20"</t>
  </si>
  <si>
    <t>SUPERCADE Social</t>
  </si>
  <si>
    <t>CADE Servita</t>
  </si>
  <si>
    <t>CE Suba</t>
  </si>
  <si>
    <t>CADE La Gaitana</t>
  </si>
  <si>
    <t>SUPERCADE Engativa</t>
  </si>
  <si>
    <t>SUPERCADE Bosa</t>
  </si>
  <si>
    <t>SUPERCADE Americas</t>
  </si>
  <si>
    <t>SUPERCADE 20 de julio</t>
  </si>
  <si>
    <t>HIDROLAVADORA INDUSTRIAL</t>
  </si>
  <si>
    <t>SUPERCADE Manitas</t>
  </si>
  <si>
    <t>SUPERCADE Calle 13</t>
  </si>
  <si>
    <t>SUPERCADE CRA 30</t>
  </si>
  <si>
    <t>SONDA PARA INODORO</t>
  </si>
  <si>
    <t>MANGUERA DE 30 METROS CON ACOPLE</t>
  </si>
  <si>
    <t>MANGUERA DE 50 METROS CON ACOPLE</t>
  </si>
  <si>
    <t>OLLETA EN ALUMINIO DE 5 LITROS</t>
  </si>
  <si>
    <t>Valor dias de ABRIL</t>
  </si>
  <si>
    <t>no llego dice que son 20</t>
  </si>
  <si>
    <t>SUPERNUMERARIA - REEMPLAZO DE OPERARIA DE ASEO Y CAFETERIA</t>
  </si>
  <si>
    <t>CENTRO DE ENCUENTRO BOSA</t>
  </si>
  <si>
    <t>CENTRO DE ENCUENTRO CIUDAD BOLIVAR</t>
  </si>
  <si>
    <t>CENTRO DE ENCUENTRO PATIO BONITO</t>
  </si>
  <si>
    <t>Mensual Equipos y maquinaria</t>
  </si>
  <si>
    <t xml:space="preserve">Mensual Bienes de Aseo y Cafetería  </t>
  </si>
  <si>
    <t>S</t>
  </si>
  <si>
    <t>Cantidades sugeridas</t>
  </si>
  <si>
    <t>valor a pagar sugeridas</t>
  </si>
  <si>
    <t>Cantidades excedidas</t>
  </si>
  <si>
    <t>valor a pagar excedidas</t>
  </si>
  <si>
    <t>Total a pagar</t>
  </si>
  <si>
    <t>dice 2 pero falta soporte</t>
  </si>
  <si>
    <t>dice 7 pero falta soporte</t>
  </si>
  <si>
    <t>dice 1 pero falta soporte</t>
  </si>
  <si>
    <t>dice 5 pero falta soporte</t>
  </si>
  <si>
    <t>dice 9 pero falta soporte</t>
  </si>
  <si>
    <t>dice 8 pero falta soporte</t>
  </si>
  <si>
    <t>dice 10 pero falta soporte</t>
  </si>
  <si>
    <t>dice 3 pero falta soporte</t>
  </si>
  <si>
    <t>dice 229 pero faltan soportes</t>
  </si>
  <si>
    <t>dice 149 pero faltan soportes</t>
  </si>
  <si>
    <t>dice 60 pero falta soporte</t>
  </si>
  <si>
    <t>dice 20 pero falta soporte</t>
  </si>
  <si>
    <t xml:space="preserve">dice 4 pero llegaron de 40 unidades y no de 50 </t>
  </si>
  <si>
    <t>dice 50 pero falta soporte</t>
  </si>
  <si>
    <t xml:space="preserve">dice 30 pero falta soporte </t>
  </si>
  <si>
    <t>dice 40 pero falta soporte</t>
  </si>
  <si>
    <t xml:space="preserve">dice 15 pero falta soporte </t>
  </si>
  <si>
    <t>dice 15 pero falta soporte</t>
  </si>
  <si>
    <t>dice 6 pero falta soporte</t>
  </si>
  <si>
    <t>dice 4 pero falta soporte</t>
  </si>
  <si>
    <t xml:space="preserve">dice 8 pero falta soporte </t>
  </si>
  <si>
    <t>Rubro</t>
  </si>
  <si>
    <t>Descripción del Rubro</t>
  </si>
  <si>
    <t>Com.Sin.Aut.Giro</t>
  </si>
  <si>
    <t>Marzo</t>
  </si>
  <si>
    <t>Abril</t>
  </si>
  <si>
    <t>O2120201002032352001</t>
  </si>
  <si>
    <t>Azúcar refinada</t>
  </si>
  <si>
    <t>O2120201002032381302</t>
  </si>
  <si>
    <t> Café molido</t>
  </si>
  <si>
    <t>O2120201002032382103</t>
  </si>
  <si>
    <t> Café instantáneo aglomerado o atomizado</t>
  </si>
  <si>
    <t>O2120201002032391101</t>
  </si>
  <si>
    <t>Té elaborado</t>
  </si>
  <si>
    <t>O2120201002032399921</t>
  </si>
  <si>
    <t>Productos aromáticos diversos</t>
  </si>
  <si>
    <t>O2120201002042441001</t>
  </si>
  <si>
    <t>Agua purificada (envasada)</t>
  </si>
  <si>
    <t>O2120201002072719007</t>
  </si>
  <si>
    <t>Filtros de material textil, para usos técnicos e industriales</t>
  </si>
  <si>
    <t>O2120201002072719009</t>
  </si>
  <si>
    <t> Paños absorbentes desechables para uso doméstico</t>
  </si>
  <si>
    <t>O2120201002072732007</t>
  </si>
  <si>
    <t> Mechas para trapero</t>
  </si>
  <si>
    <t>O2120201002072792104</t>
  </si>
  <si>
    <t>Fieltros de algodón</t>
  </si>
  <si>
    <t>O2120201002082823803</t>
  </si>
  <si>
    <t>Guantes de fibras artificiales y sintéticas</t>
  </si>
  <si>
    <t>O2120201003013191409</t>
  </si>
  <si>
    <t>Aplicadores, bajalenguas y otros para usos higiénicos, de madera</t>
  </si>
  <si>
    <t>O2120201003023213101</t>
  </si>
  <si>
    <t>Papel del tipo utilizado para papel higiénico</t>
  </si>
  <si>
    <t>O2120201003023213102</t>
  </si>
  <si>
    <t>Papel para servilletas, toallas y similares</t>
  </si>
  <si>
    <t>O2120201003023219303</t>
  </si>
  <si>
    <t>Pañuelos de papel</t>
  </si>
  <si>
    <t>O2120201003023219304</t>
  </si>
  <si>
    <t>Toallas de papel</t>
  </si>
  <si>
    <t>O2120201003023219907</t>
  </si>
  <si>
    <t>Vasos de papel o cartón</t>
  </si>
  <si>
    <t>O2120201003033335001</t>
  </si>
  <si>
    <t>Solventes para insecticida</t>
  </si>
  <si>
    <t>O2120201003033335004</t>
  </si>
  <si>
    <t>Varsol-disolvente núm. 4</t>
  </si>
  <si>
    <t>O2120201003043424014</t>
  </si>
  <si>
    <t>Hipoclorito de sodio</t>
  </si>
  <si>
    <t>O2120201003043466401</t>
  </si>
  <si>
    <t>Desinfectantes</t>
  </si>
  <si>
    <t>O2120201003053532101</t>
  </si>
  <si>
    <t>Jabones en pasta para lavar</t>
  </si>
  <si>
    <t>O2120201003053532103</t>
  </si>
  <si>
    <t>Jabones líquidos para lavar</t>
  </si>
  <si>
    <t>O2120201003053532104</t>
  </si>
  <si>
    <t>Jabones industriales</t>
  </si>
  <si>
    <t>O2120201003053532105</t>
  </si>
  <si>
    <t>Jabones de tocador</t>
  </si>
  <si>
    <t>O2120201003053532201</t>
  </si>
  <si>
    <t>Detergentes en polvo</t>
  </si>
  <si>
    <t>O2120201003053532204</t>
  </si>
  <si>
    <t>Preparaciones para limpiar vidrios</t>
  </si>
  <si>
    <t>O2120201003053533102</t>
  </si>
  <si>
    <t>Purificadores líquidos de ambiente</t>
  </si>
  <si>
    <t>O2120201003053533202</t>
  </si>
  <si>
    <t>Ceras para pisos</t>
  </si>
  <si>
    <t>O2120201003053549945</t>
  </si>
  <si>
    <t>Productos químicos especiales para tratamiento de pisos</t>
  </si>
  <si>
    <t>O2120201003063641001</t>
  </si>
  <si>
    <t>Bolsas de material plástico sin impresión</t>
  </si>
  <si>
    <t>O2120201003063694012</t>
  </si>
  <si>
    <t>Recipientes de material plástico-canecas para la basura</t>
  </si>
  <si>
    <t>O2120201003063694016</t>
  </si>
  <si>
    <t>Recogedores plásticos de basura</t>
  </si>
  <si>
    <t>O2120201003073719199</t>
  </si>
  <si>
    <t>Envases n.c.p. de vidrio</t>
  </si>
  <si>
    <t>O2120201003073719305</t>
  </si>
  <si>
    <t>Vasos y jarros de vidrio</t>
  </si>
  <si>
    <t>O2120201003073722101</t>
  </si>
  <si>
    <t>Vajillas de loza-pedernal</t>
  </si>
  <si>
    <t>O2120201003083899302</t>
  </si>
  <si>
    <t>Escobas</t>
  </si>
  <si>
    <t>O2120201003083899303</t>
  </si>
  <si>
    <t>Cepillos para lavar o fregar</t>
  </si>
  <si>
    <t>O2120201004024291231</t>
  </si>
  <si>
    <t>Esponjas y esponjillas metálicas</t>
  </si>
  <si>
    <t>O2120201004024299201</t>
  </si>
  <si>
    <t>Mangos metálicos</t>
  </si>
  <si>
    <t>O21202020070373122</t>
  </si>
  <si>
    <t>Servicios de arrendamiento o de alquiler de maquinaria y equipo de construcción sin operario</t>
  </si>
  <si>
    <t>O21202020070373230</t>
  </si>
  <si>
    <t>Servicios de arrendamiento sin opción de compra de muebles y otros aparatos domésticos</t>
  </si>
  <si>
    <t>O21202020080585330</t>
  </si>
  <si>
    <t>Servicios de limpieza general</t>
  </si>
  <si>
    <t>O21202020080585330-Servicios de limpieza general</t>
  </si>
  <si>
    <t>Total de servicios de limpieza</t>
  </si>
  <si>
    <t>AIU</t>
  </si>
  <si>
    <t>O21202020070373230-Servicios de arrendamiento sin opción de compra de muebles y otros aparatos domésticos</t>
  </si>
  <si>
    <t>Total de Servicios de arrendamiento sin opción de compra de muebles y otros aparatos domésticos</t>
  </si>
  <si>
    <t>Total dias</t>
  </si>
  <si>
    <t>insumos</t>
  </si>
  <si>
    <t xml:space="preserve">Total insumos </t>
  </si>
  <si>
    <t>SEDES</t>
  </si>
  <si>
    <t>TOTALES</t>
  </si>
  <si>
    <t>total</t>
  </si>
  <si>
    <t>RUBRO</t>
  </si>
  <si>
    <t>DESCRIPCION DEL RUBRO</t>
  </si>
  <si>
    <t>Precio maximo a cobrarme con AUI + IVA</t>
  </si>
  <si>
    <t>Precio con descuento con AUI + IVA</t>
  </si>
  <si>
    <t>ojo revisar</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</si>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</sst>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dd/mm/yyyy;@"/>
    <numFmt numFmtId="165" formatCode="_-&quot;$&quot;\ * #,##0_-;\-&quot;$&quot;\ * #,##0_-;_-&quot;$&quot;\ * &quot;-&quot;??_-;_-@_-"/>
    <numFmt numFmtId="166" formatCode="_-* #,##0_-;\-* #,##0_-;_-* &quot;-&quot;??_-;_-@_-"/>
  </numFmts>
  <fonts count="32">
    <font>
      <sz val="11"/>
      <color theme="1"/>
      <name val="Calibri"/>
      <family val="2"/>
      <scheme val="minor"/>
    </font>
    <font>
      <sz val="11"/>
      <color theme="1"/>
      <name val="Calibri"/>
      <family val="2"/>
      <scheme val="minor"/>
    </font>
    <font>
      <sz val="10"/>
      <name val="Arial"/>
      <family val="2"/>
    </font>
    <font>
      <sz val="10"/>
      <color theme="1"/>
      <name val="Arial"/>
      <family val="2"/>
    </font>
    <font>
      <b/>
      <sz val="11"/>
      <color theme="1"/>
      <name val="Arial"/>
      <family val="2"/>
    </font>
    <font>
      <b/>
      <sz val="10"/>
      <color theme="1"/>
      <name val="Arial"/>
      <family val="2"/>
    </font>
    <font>
      <b/>
      <sz val="11"/>
      <color theme="0"/>
      <name val="Calibri"/>
      <family val="2"/>
      <scheme val="minor"/>
    </font>
    <font>
      <b/>
      <sz val="11"/>
      <color theme="1"/>
      <name val="Calibri"/>
      <family val="2"/>
      <scheme val="minor"/>
    </font>
    <font>
      <b/>
      <sz val="9"/>
      <color theme="0"/>
      <name val="Arial"/>
      <family val="2"/>
    </font>
    <font>
      <sz val="9"/>
      <name val="Arial"/>
      <family val="2"/>
    </font>
    <font>
      <sz val="8"/>
      <color theme="1"/>
      <name val="Calibri"/>
      <family val="2"/>
      <scheme val="minor"/>
    </font>
    <font>
      <sz val="8"/>
      <color theme="1"/>
      <name val="Arial"/>
      <family val="2"/>
    </font>
    <font>
      <sz val="10"/>
      <name val="Arial"/>
      <family val="2"/>
    </font>
    <font>
      <b/>
      <sz val="11"/>
      <name val="Calibri"/>
      <family val="2"/>
      <scheme val="minor"/>
    </font>
    <font>
      <sz val="11"/>
      <name val="Calibri"/>
      <family val="2"/>
      <scheme val="minor"/>
    </font>
    <font>
      <sz val="11"/>
      <color rgb="FF000000"/>
      <name val="Calibri"/>
      <family val="2"/>
      <scheme val="minor"/>
    </font>
    <font>
      <sz val="11"/>
      <color theme="1"/>
      <name val="Arial"/>
      <family val="2"/>
    </font>
    <font>
      <sz val="11"/>
      <color rgb="FF000000"/>
      <name val="Calibri"/>
      <family val="2"/>
    </font>
    <font>
      <sz val="10"/>
      <name val="Arial"/>
      <family val="2"/>
    </font>
    <font>
      <b/>
      <sz val="8"/>
      <color theme="0"/>
      <name val="Calibri"/>
      <family val="2"/>
      <scheme val="minor"/>
    </font>
    <font>
      <b/>
      <sz val="8"/>
      <name val="Calibri"/>
      <family val="2"/>
      <scheme val="minor"/>
    </font>
    <font>
      <sz val="10"/>
      <name val="Verdana   "/>
      <charset val="134"/>
    </font>
    <font>
      <b/>
      <sz val="12"/>
      <name val="Calibri"/>
      <family val="2"/>
      <scheme val="minor"/>
    </font>
    <font>
      <sz val="8"/>
      <color theme="0"/>
      <name val="Arial"/>
      <family val="2"/>
    </font>
    <font>
      <sz val="8"/>
      <color theme="0"/>
      <name val="Calibri"/>
      <family val="2"/>
      <scheme val="minor"/>
    </font>
    <font>
      <sz val="9"/>
      <color indexed="81"/>
      <name val="Tahoma"/>
      <family val="2"/>
    </font>
    <font>
      <b/>
      <sz val="9"/>
      <color indexed="81"/>
      <name val="Tahoma"/>
      <family val="2"/>
    </font>
    <font>
      <b/>
      <sz val="8"/>
      <name val="Arial"/>
      <family val="2"/>
    </font>
    <font>
      <sz val="10"/>
      <color rgb="FF000000"/>
      <name val="Arial"/>
      <family val="2"/>
    </font>
    <font>
      <sz val="10"/>
      <color rgb="FFFF0000"/>
      <name val="Arial"/>
      <family val="2"/>
    </font>
    <font>
      <sz val="10"/>
      <color rgb="FF000000"/>
      <name val="Times New Roman"/>
      <family val="1"/>
    </font>
    <font>
      <sz val="8"/>
      <name val="Arial"/>
      <family val="2"/>
    </font>
  </fonts>
  <fills count="2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theme="7" tint="0.39997558519241921"/>
        <bgColor indexed="64"/>
      </patternFill>
    </fill>
    <fill>
      <patternFill patternType="solid">
        <fgColor rgb="FFFF0000"/>
        <bgColor indexed="64"/>
      </patternFill>
    </fill>
    <fill>
      <patternFill patternType="solid">
        <fgColor theme="7" tint="0.79998168889431442"/>
        <bgColor indexed="64"/>
      </patternFill>
    </fill>
    <fill>
      <patternFill patternType="solid">
        <fgColor rgb="FFCC30D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79992065187536243"/>
        <bgColor indexed="64"/>
      </patternFill>
    </fill>
    <fill>
      <patternFill patternType="solid">
        <fgColor indexed="44"/>
        <bgColor indexed="64"/>
      </patternFill>
    </fill>
    <fill>
      <patternFill patternType="solid">
        <fgColor rgb="FFFF99FF"/>
        <bgColor indexed="64"/>
      </patternFill>
    </fill>
    <fill>
      <patternFill patternType="solid">
        <fgColor theme="0" tint="-4.9989318521683403E-2"/>
        <bgColor indexed="64"/>
      </patternFill>
    </fill>
    <fill>
      <patternFill patternType="solid">
        <fgColor rgb="FFE6F8FE"/>
        <bgColor indexed="64"/>
      </patternFill>
    </fill>
    <fill>
      <patternFill patternType="solid">
        <fgColor rgb="FF00B0F0"/>
        <bgColor indexed="64"/>
      </patternFill>
    </fill>
    <fill>
      <patternFill patternType="solid">
        <fgColor rgb="FF0070C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43" fontId="1" fillId="0" borderId="0" applyFont="0" applyFill="0" applyBorder="0" applyAlignment="0" applyProtection="0"/>
    <xf numFmtId="0" fontId="18" fillId="0" borderId="0"/>
    <xf numFmtId="0" fontId="21" fillId="0" borderId="0"/>
    <xf numFmtId="41" fontId="1" fillId="0" borderId="0" applyFont="0" applyFill="0" applyBorder="0" applyAlignment="0" applyProtection="0"/>
    <xf numFmtId="0" fontId="30" fillId="0" borderId="0"/>
  </cellStyleXfs>
  <cellXfs count="280">
    <xf numFmtId="0" fontId="0" fillId="0" borderId="0" xfId="0"/>
    <xf numFmtId="0" fontId="0" fillId="0" borderId="1" xfId="0" applyBorder="1" applyAlignment="1">
      <alignment horizontal="center"/>
    </xf>
    <xf numFmtId="0" fontId="0" fillId="0" borderId="1" xfId="1" applyNumberFormat="1" applyFont="1" applyBorder="1" applyAlignment="1">
      <alignment horizontal="center"/>
    </xf>
    <xf numFmtId="0" fontId="0" fillId="0" borderId="1" xfId="0" applyBorder="1" applyAlignment="1">
      <alignment horizontal="center" vertical="center"/>
    </xf>
    <xf numFmtId="39" fontId="0" fillId="0" borderId="0" xfId="0" applyNumberFormat="1"/>
    <xf numFmtId="0" fontId="6" fillId="5" borderId="1" xfId="0"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protection hidden="1"/>
    </xf>
    <xf numFmtId="43" fontId="6" fillId="5" borderId="1" xfId="6" applyFont="1" applyFill="1" applyBorder="1" applyAlignment="1" applyProtection="1">
      <alignment horizontal="center" vertical="center" wrapText="1"/>
      <protection hidden="1"/>
    </xf>
    <xf numFmtId="1" fontId="6" fillId="5" borderId="1" xfId="0" applyNumberFormat="1" applyFont="1" applyFill="1" applyBorder="1" applyAlignment="1">
      <alignment horizontal="center" vertical="center" shrinkToFit="1"/>
    </xf>
    <xf numFmtId="0" fontId="14" fillId="0" borderId="1" xfId="0" applyFont="1" applyBorder="1" applyAlignment="1">
      <alignment horizontal="center" vertical="center" wrapText="1"/>
    </xf>
    <xf numFmtId="49" fontId="15" fillId="0" borderId="1" xfId="0" applyNumberFormat="1" applyFont="1" applyBorder="1" applyAlignment="1">
      <alignment horizontal="left" vertical="center" wrapText="1"/>
    </xf>
    <xf numFmtId="44" fontId="14" fillId="0" borderId="1" xfId="1" applyFont="1" applyFill="1" applyBorder="1" applyAlignment="1" applyProtection="1">
      <alignment horizontal="center" vertical="center"/>
      <protection hidden="1"/>
    </xf>
    <xf numFmtId="10" fontId="14" fillId="0" borderId="1" xfId="1" applyNumberFormat="1" applyFont="1" applyFill="1" applyBorder="1" applyAlignment="1" applyProtection="1">
      <alignment horizontal="center" vertical="center"/>
      <protection hidden="1"/>
    </xf>
    <xf numFmtId="10" fontId="0" fillId="0" borderId="1" xfId="2" applyNumberFormat="1" applyFont="1" applyFill="1" applyBorder="1" applyAlignment="1" applyProtection="1">
      <alignment horizontal="center" vertical="center"/>
      <protection locked="0" hidden="1"/>
    </xf>
    <xf numFmtId="44" fontId="14" fillId="4" borderId="1" xfId="1" applyFont="1" applyFill="1" applyBorder="1" applyAlignment="1" applyProtection="1">
      <alignment horizontal="center" vertical="center"/>
      <protection hidden="1"/>
    </xf>
    <xf numFmtId="44" fontId="0" fillId="0" borderId="1" xfId="1" applyFont="1" applyFill="1" applyBorder="1" applyAlignment="1" applyProtection="1">
      <alignment horizontal="center" vertical="center" wrapText="1"/>
      <protection hidden="1"/>
    </xf>
    <xf numFmtId="39" fontId="0" fillId="0" borderId="1" xfId="6" applyNumberFormat="1" applyFont="1" applyFill="1" applyBorder="1" applyAlignment="1" applyProtection="1">
      <alignment horizontal="center" vertical="center"/>
      <protection hidden="1"/>
    </xf>
    <xf numFmtId="43" fontId="13" fillId="0" borderId="1" xfId="6" applyFont="1" applyFill="1" applyBorder="1" applyAlignment="1" applyProtection="1">
      <alignment wrapText="1"/>
      <protection locked="0" hidden="1"/>
    </xf>
    <xf numFmtId="43" fontId="0" fillId="0" borderId="1" xfId="0" applyNumberFormat="1" applyBorder="1" applyAlignment="1">
      <alignment horizontal="center" vertical="center"/>
    </xf>
    <xf numFmtId="43" fontId="0" fillId="2" borderId="1" xfId="0" applyNumberFormat="1" applyFill="1" applyBorder="1" applyAlignment="1">
      <alignment horizontal="center" vertical="center"/>
    </xf>
    <xf numFmtId="43" fontId="0" fillId="6" borderId="1" xfId="0" applyNumberFormat="1" applyFill="1" applyBorder="1" applyAlignment="1">
      <alignment horizontal="center" vertical="center"/>
    </xf>
    <xf numFmtId="43" fontId="7" fillId="0" borderId="1" xfId="0" applyNumberFormat="1" applyFont="1" applyBorder="1" applyAlignment="1">
      <alignment horizontal="center" vertical="center"/>
    </xf>
    <xf numFmtId="43" fontId="0" fillId="7" borderId="1" xfId="0" applyNumberFormat="1" applyFill="1" applyBorder="1" applyAlignment="1">
      <alignment horizontal="center" vertical="center"/>
    </xf>
    <xf numFmtId="43" fontId="7" fillId="7" borderId="1" xfId="0" applyNumberFormat="1" applyFont="1" applyFill="1" applyBorder="1" applyAlignment="1">
      <alignment horizontal="center" vertical="center"/>
    </xf>
    <xf numFmtId="43" fontId="0" fillId="8" borderId="1" xfId="0" applyNumberFormat="1" applyFill="1" applyBorder="1" applyAlignment="1">
      <alignment horizontal="center" vertical="center"/>
    </xf>
    <xf numFmtId="44" fontId="14" fillId="0" borderId="1" xfId="1" applyFont="1" applyFill="1" applyBorder="1" applyAlignment="1" applyProtection="1">
      <alignment horizontal="center" vertical="center" wrapText="1"/>
      <protection hidden="1"/>
    </xf>
    <xf numFmtId="10" fontId="14" fillId="0" borderId="1" xfId="1" applyNumberFormat="1" applyFont="1" applyFill="1" applyBorder="1" applyAlignment="1" applyProtection="1">
      <alignment horizontal="center" vertical="center" wrapText="1"/>
      <protection hidden="1"/>
    </xf>
    <xf numFmtId="10" fontId="0" fillId="0" borderId="1" xfId="2" applyNumberFormat="1" applyFont="1" applyFill="1" applyBorder="1" applyAlignment="1" applyProtection="1">
      <alignment horizontal="center" vertical="center" wrapText="1"/>
      <protection locked="0" hidden="1"/>
    </xf>
    <xf numFmtId="0" fontId="14" fillId="0" borderId="1" xfId="0" applyFont="1" applyBorder="1" applyAlignment="1">
      <alignment horizontal="left" vertical="center" wrapText="1"/>
    </xf>
    <xf numFmtId="43" fontId="13" fillId="0" borderId="1" xfId="6" applyFont="1" applyFill="1" applyBorder="1" applyAlignment="1" applyProtection="1">
      <alignment wrapText="1"/>
      <protection hidden="1"/>
    </xf>
    <xf numFmtId="43" fontId="0" fillId="0" borderId="0" xfId="0" applyNumberFormat="1" applyAlignment="1">
      <alignment horizontal="center"/>
    </xf>
    <xf numFmtId="44" fontId="13" fillId="9" borderId="0" xfId="1" applyFont="1" applyFill="1" applyAlignment="1">
      <alignment horizontal="center"/>
    </xf>
    <xf numFmtId="43" fontId="0" fillId="0" borderId="0" xfId="0" applyNumberFormat="1"/>
    <xf numFmtId="0" fontId="0" fillId="7" borderId="1" xfId="0" applyFill="1" applyBorder="1"/>
    <xf numFmtId="0" fontId="0" fillId="0" borderId="0" xfId="0" applyAlignment="1">
      <alignment horizontal="center"/>
    </xf>
    <xf numFmtId="0" fontId="0" fillId="8" borderId="1" xfId="0" applyFill="1" applyBorder="1"/>
    <xf numFmtId="0" fontId="0" fillId="6" borderId="1" xfId="0" applyFill="1" applyBorder="1"/>
    <xf numFmtId="0" fontId="0" fillId="9" borderId="1" xfId="0" applyFill="1" applyBorder="1"/>
    <xf numFmtId="0" fontId="16" fillId="0" borderId="1" xfId="0" applyFont="1" applyBorder="1" applyAlignment="1">
      <alignment horizontal="center"/>
    </xf>
    <xf numFmtId="0" fontId="8" fillId="5" borderId="1" xfId="0" applyFont="1" applyFill="1" applyBorder="1" applyAlignment="1" applyProtection="1">
      <alignment horizontal="center" vertical="center" wrapText="1"/>
      <protection hidden="1"/>
    </xf>
    <xf numFmtId="49" fontId="19" fillId="5" borderId="1" xfId="0" applyNumberFormat="1" applyFont="1" applyFill="1" applyBorder="1" applyAlignment="1" applyProtection="1">
      <alignment horizontal="center" vertical="center" wrapText="1"/>
      <protection hidden="1"/>
    </xf>
    <xf numFmtId="49" fontId="19" fillId="5" borderId="1" xfId="0" applyNumberFormat="1" applyFont="1" applyFill="1" applyBorder="1" applyAlignment="1" applyProtection="1">
      <alignment horizontal="center" vertical="center"/>
      <protection hidden="1"/>
    </xf>
    <xf numFmtId="0" fontId="10" fillId="0" borderId="0" xfId="0" applyFont="1"/>
    <xf numFmtId="0" fontId="3" fillId="6" borderId="1" xfId="0" applyFont="1" applyFill="1" applyBorder="1" applyAlignment="1" applyProtection="1">
      <alignment horizontal="center" vertical="center"/>
      <protection hidden="1"/>
    </xf>
    <xf numFmtId="0" fontId="3" fillId="6" borderId="1" xfId="0" applyFont="1" applyFill="1" applyBorder="1" applyAlignment="1" applyProtection="1">
      <alignment horizontal="center" vertical="center"/>
      <protection locked="0"/>
    </xf>
    <xf numFmtId="1" fontId="3" fillId="6" borderId="1" xfId="0" applyNumberFormat="1" applyFont="1" applyFill="1" applyBorder="1" applyAlignment="1" applyProtection="1">
      <alignment horizontal="center" vertical="center"/>
      <protection locked="0"/>
    </xf>
    <xf numFmtId="1" fontId="2" fillId="6" borderId="1" xfId="0" applyNumberFormat="1" applyFont="1" applyFill="1" applyBorder="1" applyAlignment="1" applyProtection="1">
      <alignment horizontal="center" vertical="center"/>
      <protection locked="0"/>
    </xf>
    <xf numFmtId="1" fontId="3" fillId="4" borderId="1" xfId="0" applyNumberFormat="1" applyFont="1" applyFill="1" applyBorder="1" applyAlignment="1" applyProtection="1">
      <alignment horizontal="center" vertical="center"/>
      <protection locked="0"/>
    </xf>
    <xf numFmtId="1" fontId="0" fillId="6" borderId="1" xfId="0" applyNumberFormat="1" applyFill="1" applyBorder="1" applyAlignment="1">
      <alignment horizontal="center"/>
    </xf>
    <xf numFmtId="1" fontId="2" fillId="11" borderId="1" xfId="0" applyNumberFormat="1" applyFont="1" applyFill="1" applyBorder="1" applyAlignment="1" applyProtection="1">
      <alignment horizontal="center" vertical="center"/>
      <protection locked="0"/>
    </xf>
    <xf numFmtId="1" fontId="3" fillId="11" borderId="1" xfId="0" applyNumberFormat="1" applyFont="1" applyFill="1" applyBorder="1" applyAlignment="1" applyProtection="1">
      <alignment horizontal="center" vertical="center"/>
      <protection locked="0"/>
    </xf>
    <xf numFmtId="0" fontId="7" fillId="14" borderId="5" xfId="0" applyFont="1" applyFill="1" applyBorder="1" applyAlignment="1">
      <alignment horizontal="center" vertical="center"/>
    </xf>
    <xf numFmtId="0" fontId="7" fillId="14" borderId="8" xfId="0" applyFont="1" applyFill="1" applyBorder="1" applyAlignment="1">
      <alignment horizontal="center" vertical="center"/>
    </xf>
    <xf numFmtId="1" fontId="7" fillId="6" borderId="8" xfId="0" applyNumberFormat="1" applyFont="1" applyFill="1" applyBorder="1" applyAlignment="1">
      <alignment horizontal="center" vertical="center"/>
    </xf>
    <xf numFmtId="1" fontId="7" fillId="14" borderId="8" xfId="0" applyNumberFormat="1" applyFont="1" applyFill="1" applyBorder="1" applyAlignment="1">
      <alignment horizontal="center" vertical="center"/>
    </xf>
    <xf numFmtId="1" fontId="7" fillId="15" borderId="8" xfId="0" applyNumberFormat="1" applyFont="1" applyFill="1" applyBorder="1" applyAlignment="1">
      <alignment horizontal="center" vertical="center"/>
    </xf>
    <xf numFmtId="0" fontId="7" fillId="6" borderId="8" xfId="0" applyFont="1" applyFill="1" applyBorder="1" applyAlignment="1">
      <alignment horizontal="center" vertical="center"/>
    </xf>
    <xf numFmtId="1" fontId="7" fillId="4" borderId="8" xfId="0" applyNumberFormat="1" applyFont="1" applyFill="1" applyBorder="1" applyAlignment="1">
      <alignment horizontal="center" vertical="center"/>
    </xf>
    <xf numFmtId="1" fontId="5" fillId="7"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xf>
    <xf numFmtId="0" fontId="7" fillId="6" borderId="1" xfId="0" applyFont="1" applyFill="1" applyBorder="1" applyAlignment="1">
      <alignment horizontal="center" vertical="center"/>
    </xf>
    <xf numFmtId="1" fontId="7" fillId="6"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0" fontId="22" fillId="16" borderId="1" xfId="8" applyFont="1" applyFill="1" applyBorder="1" applyAlignment="1">
      <alignment horizontal="center" vertical="center"/>
    </xf>
    <xf numFmtId="0" fontId="7" fillId="3" borderId="1" xfId="0" applyFont="1" applyFill="1" applyBorder="1" applyAlignment="1">
      <alignment horizontal="center"/>
    </xf>
    <xf numFmtId="0" fontId="24" fillId="5" borderId="1" xfId="0" applyFont="1" applyFill="1" applyBorder="1" applyAlignment="1">
      <alignment horizontal="center" vertical="center" wrapText="1"/>
    </xf>
    <xf numFmtId="0" fontId="23" fillId="5" borderId="1"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0" fillId="0" borderId="1" xfId="0" applyBorder="1"/>
    <xf numFmtId="0" fontId="7" fillId="3" borderId="1" xfId="0" applyFont="1" applyFill="1" applyBorder="1" applyAlignment="1">
      <alignment horizontal="left"/>
    </xf>
    <xf numFmtId="0" fontId="0" fillId="11" borderId="1" xfId="0" applyFill="1" applyBorder="1" applyAlignment="1">
      <alignment horizontal="left"/>
    </xf>
    <xf numFmtId="0" fontId="0" fillId="0" borderId="0" xfId="0" applyAlignment="1">
      <alignment horizontal="left"/>
    </xf>
    <xf numFmtId="0" fontId="15" fillId="4" borderId="1" xfId="0" applyFont="1" applyFill="1" applyBorder="1" applyAlignment="1">
      <alignment vertical="center"/>
    </xf>
    <xf numFmtId="0" fontId="14" fillId="4" borderId="1" xfId="0" applyFont="1" applyFill="1" applyBorder="1" applyAlignment="1">
      <alignment vertical="center"/>
    </xf>
    <xf numFmtId="0" fontId="0" fillId="0" borderId="1" xfId="0" applyFill="1" applyBorder="1"/>
    <xf numFmtId="0" fontId="16" fillId="4" borderId="1" xfId="0" applyFont="1" applyFill="1" applyBorder="1" applyAlignment="1">
      <alignment horizontal="left"/>
    </xf>
    <xf numFmtId="165" fontId="0" fillId="0" borderId="1" xfId="1" applyNumberFormat="1" applyFont="1" applyBorder="1"/>
    <xf numFmtId="165" fontId="16" fillId="0" borderId="1" xfId="1" applyNumberFormat="1" applyFont="1" applyBorder="1" applyAlignment="1">
      <alignment horizontal="center"/>
    </xf>
    <xf numFmtId="165" fontId="0" fillId="0" borderId="0" xfId="1" applyNumberFormat="1" applyFont="1"/>
    <xf numFmtId="165" fontId="16" fillId="0" borderId="1" xfId="1" applyNumberFormat="1" applyFont="1" applyBorder="1" applyAlignment="1"/>
    <xf numFmtId="0" fontId="16" fillId="4" borderId="6" xfId="0" applyFont="1" applyFill="1" applyBorder="1" applyAlignment="1">
      <alignment horizontal="left"/>
    </xf>
    <xf numFmtId="1" fontId="22" fillId="16" borderId="1" xfId="8" applyNumberFormat="1" applyFont="1" applyFill="1" applyBorder="1" applyAlignment="1">
      <alignment horizontal="right" vertical="center"/>
    </xf>
    <xf numFmtId="0" fontId="0" fillId="0" borderId="0" xfId="0" applyAlignment="1">
      <alignment horizontal="right"/>
    </xf>
    <xf numFmtId="0" fontId="22" fillId="16" borderId="1" xfId="8" applyFont="1" applyFill="1" applyBorder="1" applyAlignment="1">
      <alignment horizontal="left" vertical="center"/>
    </xf>
    <xf numFmtId="14" fontId="22" fillId="17" borderId="1" xfId="8" applyNumberFormat="1" applyFont="1" applyFill="1" applyBorder="1" applyAlignment="1">
      <alignment horizontal="right" vertical="center"/>
    </xf>
    <xf numFmtId="0" fontId="22" fillId="17" borderId="1" xfId="8" applyNumberFormat="1" applyFont="1" applyFill="1" applyBorder="1" applyAlignment="1">
      <alignment horizontal="right" vertical="center"/>
    </xf>
    <xf numFmtId="0" fontId="0" fillId="0" borderId="0" xfId="0" applyNumberFormat="1" applyAlignment="1">
      <alignment horizontal="right"/>
    </xf>
    <xf numFmtId="166" fontId="9" fillId="0" borderId="1" xfId="6" applyNumberFormat="1" applyFont="1" applyBorder="1" applyAlignment="1" applyProtection="1">
      <alignment horizontal="center" vertical="center" wrapText="1"/>
      <protection hidden="1"/>
    </xf>
    <xf numFmtId="166" fontId="0" fillId="0" borderId="1" xfId="6" applyNumberFormat="1" applyFont="1" applyBorder="1"/>
    <xf numFmtId="166" fontId="0" fillId="0" borderId="1" xfId="6" applyNumberFormat="1" applyFont="1" applyBorder="1" applyAlignment="1">
      <alignment horizontal="center" vertical="center"/>
    </xf>
    <xf numFmtId="165" fontId="0" fillId="0" borderId="1" xfId="1" applyNumberFormat="1" applyFont="1" applyBorder="1" applyAlignment="1">
      <alignment horizontal="center" vertical="center"/>
    </xf>
    <xf numFmtId="0" fontId="0" fillId="11" borderId="1" xfId="0" applyFill="1" applyBorder="1"/>
    <xf numFmtId="0" fontId="0" fillId="4" borderId="1" xfId="0" applyFill="1" applyBorder="1"/>
    <xf numFmtId="165" fontId="0" fillId="0" borderId="1" xfId="0" applyNumberFormat="1" applyBorder="1"/>
    <xf numFmtId="9" fontId="0" fillId="0" borderId="1" xfId="2" applyFont="1" applyBorder="1"/>
    <xf numFmtId="9" fontId="0" fillId="0" borderId="1" xfId="0" applyNumberFormat="1" applyBorder="1"/>
    <xf numFmtId="165" fontId="7" fillId="6" borderId="1" xfId="0" applyNumberFormat="1" applyFont="1" applyFill="1" applyBorder="1"/>
    <xf numFmtId="14" fontId="16" fillId="0" borderId="2" xfId="0" applyNumberFormat="1" applyFont="1" applyBorder="1" applyAlignment="1">
      <alignment horizontal="center"/>
    </xf>
    <xf numFmtId="14" fontId="16" fillId="0" borderId="2" xfId="0" applyNumberFormat="1" applyFont="1" applyFill="1" applyBorder="1" applyAlignment="1">
      <alignment horizontal="center"/>
    </xf>
    <xf numFmtId="14" fontId="16" fillId="0" borderId="4" xfId="0" applyNumberFormat="1" applyFont="1" applyBorder="1" applyAlignment="1">
      <alignment horizontal="center"/>
    </xf>
    <xf numFmtId="0" fontId="4" fillId="0" borderId="1" xfId="0" applyFont="1" applyBorder="1" applyAlignment="1">
      <alignment horizontal="center" vertical="center" wrapText="1"/>
    </xf>
    <xf numFmtId="0" fontId="16" fillId="0" borderId="1" xfId="0" applyFont="1" applyFill="1" applyBorder="1" applyAlignment="1">
      <alignment horizontal="center"/>
    </xf>
    <xf numFmtId="0" fontId="16" fillId="0" borderId="6" xfId="0" applyFont="1" applyFill="1" applyBorder="1" applyAlignment="1">
      <alignment horizontal="left"/>
    </xf>
    <xf numFmtId="0" fontId="17" fillId="0" borderId="6" xfId="0" applyFont="1" applyBorder="1" applyAlignment="1">
      <alignment horizontal="left"/>
    </xf>
    <xf numFmtId="0" fontId="16" fillId="0" borderId="6" xfId="0" applyFont="1" applyBorder="1" applyAlignment="1">
      <alignment horizontal="left"/>
    </xf>
    <xf numFmtId="0" fontId="17" fillId="0" borderId="6" xfId="0" applyFont="1" applyFill="1" applyBorder="1" applyAlignment="1">
      <alignment horizontal="left"/>
    </xf>
    <xf numFmtId="165" fontId="22" fillId="17" borderId="1" xfId="1" applyNumberFormat="1" applyFont="1" applyFill="1" applyBorder="1" applyAlignment="1">
      <alignment horizontal="right" vertical="center"/>
    </xf>
    <xf numFmtId="165" fontId="0" fillId="0" borderId="0" xfId="1" applyNumberFormat="1" applyFont="1" applyAlignment="1">
      <alignment horizontal="right"/>
    </xf>
    <xf numFmtId="165" fontId="0" fillId="11" borderId="1" xfId="1" applyNumberFormat="1" applyFont="1" applyFill="1" applyBorder="1" applyAlignment="1">
      <alignment horizontal="center"/>
    </xf>
    <xf numFmtId="0" fontId="15" fillId="4" borderId="1" xfId="0" applyFont="1" applyFill="1" applyBorder="1" applyAlignment="1">
      <alignment horizontal="left" vertical="center"/>
    </xf>
    <xf numFmtId="0" fontId="14" fillId="4" borderId="1" xfId="0" applyFont="1" applyFill="1" applyBorder="1" applyAlignment="1">
      <alignment horizontal="center" vertical="center"/>
    </xf>
    <xf numFmtId="14" fontId="14" fillId="0" borderId="1" xfId="0" applyNumberFormat="1" applyFont="1" applyFill="1" applyBorder="1" applyAlignment="1">
      <alignment horizontal="right" vertical="center"/>
    </xf>
    <xf numFmtId="0" fontId="0" fillId="0" borderId="1" xfId="0" applyFill="1" applyBorder="1" applyAlignment="1">
      <alignment horizontal="right"/>
    </xf>
    <xf numFmtId="164" fontId="15" fillId="0" borderId="1" xfId="0" applyNumberFormat="1" applyFont="1" applyFill="1" applyBorder="1" applyAlignment="1">
      <alignment horizontal="right" vertical="center"/>
    </xf>
    <xf numFmtId="14" fontId="0" fillId="0" borderId="1" xfId="0" applyNumberFormat="1" applyFill="1" applyBorder="1" applyAlignment="1">
      <alignment horizontal="right"/>
    </xf>
    <xf numFmtId="165" fontId="0" fillId="0" borderId="1" xfId="1" applyNumberFormat="1" applyFont="1" applyFill="1" applyBorder="1" applyAlignment="1">
      <alignment horizontal="left"/>
    </xf>
    <xf numFmtId="165" fontId="0" fillId="0" borderId="1" xfId="1" applyNumberFormat="1" applyFont="1" applyFill="1" applyBorder="1" applyAlignment="1">
      <alignment horizontal="center"/>
    </xf>
    <xf numFmtId="0" fontId="0" fillId="18" borderId="1" xfId="0" applyFill="1" applyBorder="1"/>
    <xf numFmtId="165" fontId="0" fillId="0" borderId="0" xfId="0" applyNumberFormat="1"/>
    <xf numFmtId="0" fontId="14" fillId="0" borderId="1" xfId="0" applyFont="1" applyFill="1" applyBorder="1" applyAlignment="1">
      <alignment vertical="center"/>
    </xf>
    <xf numFmtId="0" fontId="0" fillId="0" borderId="1" xfId="0" applyFill="1" applyBorder="1" applyAlignment="1">
      <alignment horizontal="left"/>
    </xf>
    <xf numFmtId="0" fontId="14" fillId="0" borderId="1" xfId="0" applyNumberFormat="1" applyFont="1" applyFill="1" applyBorder="1" applyAlignment="1">
      <alignment horizontal="right" vertical="center"/>
    </xf>
    <xf numFmtId="0" fontId="0" fillId="0" borderId="1" xfId="0" applyFill="1" applyBorder="1" applyAlignment="1">
      <alignment horizontal="center"/>
    </xf>
    <xf numFmtId="0" fontId="15" fillId="0" borderId="1" xfId="0" applyFont="1" applyFill="1" applyBorder="1" applyAlignment="1">
      <alignment vertical="center"/>
    </xf>
    <xf numFmtId="0" fontId="14" fillId="0" borderId="1" xfId="0" applyFont="1" applyFill="1" applyBorder="1" applyAlignment="1">
      <alignment horizontal="center" vertical="center"/>
    </xf>
    <xf numFmtId="0" fontId="15" fillId="0" borderId="1" xfId="0" applyFont="1" applyFill="1" applyBorder="1" applyAlignment="1">
      <alignment horizontal="right" vertical="center"/>
    </xf>
    <xf numFmtId="0" fontId="15" fillId="0" borderId="1" xfId="0" applyFont="1" applyFill="1" applyBorder="1" applyAlignment="1">
      <alignment horizontal="left" vertical="center"/>
    </xf>
    <xf numFmtId="0" fontId="14" fillId="0" borderId="1" xfId="0" applyFont="1" applyFill="1" applyBorder="1" applyAlignment="1">
      <alignment horizontal="right" vertical="center"/>
    </xf>
    <xf numFmtId="0" fontId="14" fillId="0" borderId="1" xfId="0" applyFont="1" applyFill="1" applyBorder="1" applyAlignment="1">
      <alignment horizontal="left" vertical="center"/>
    </xf>
    <xf numFmtId="165" fontId="14" fillId="0" borderId="1" xfId="1" applyNumberFormat="1" applyFont="1" applyFill="1" applyBorder="1" applyAlignment="1">
      <alignment horizontal="center" vertical="center"/>
    </xf>
    <xf numFmtId="14" fontId="14" fillId="0" borderId="1" xfId="0" applyNumberFormat="1" applyFont="1" applyFill="1" applyBorder="1" applyAlignment="1">
      <alignment horizontal="right" vertical="center" wrapText="1"/>
    </xf>
    <xf numFmtId="0" fontId="14" fillId="0" borderId="1" xfId="0" applyNumberFormat="1" applyFont="1" applyFill="1" applyBorder="1" applyAlignment="1">
      <alignment horizontal="right" vertical="center" wrapText="1"/>
    </xf>
    <xf numFmtId="165" fontId="15" fillId="0" borderId="1" xfId="1"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NumberFormat="1" applyFont="1" applyFill="1" applyBorder="1" applyAlignment="1">
      <alignment horizontal="right" vertical="center"/>
    </xf>
    <xf numFmtId="0" fontId="0" fillId="0" borderId="1" xfId="0" applyNumberFormat="1" applyFill="1" applyBorder="1" applyAlignment="1">
      <alignment horizontal="right"/>
    </xf>
    <xf numFmtId="0" fontId="1" fillId="0" borderId="1" xfId="0" applyFont="1" applyFill="1" applyBorder="1" applyAlignment="1">
      <alignment horizontal="left"/>
    </xf>
    <xf numFmtId="0" fontId="0" fillId="0" borderId="1" xfId="0" applyFill="1" applyBorder="1" applyAlignment="1">
      <alignment horizontal="right" vertical="center"/>
    </xf>
    <xf numFmtId="0" fontId="0" fillId="0" borderId="1" xfId="0" applyFill="1" applyBorder="1" applyAlignment="1">
      <alignment horizontal="left" vertical="center"/>
    </xf>
    <xf numFmtId="165" fontId="0" fillId="0" borderId="1" xfId="1" applyNumberFormat="1" applyFont="1" applyFill="1" applyBorder="1"/>
    <xf numFmtId="14" fontId="15" fillId="0" borderId="1" xfId="0" applyNumberFormat="1" applyFont="1" applyFill="1" applyBorder="1" applyAlignment="1">
      <alignment horizontal="right" vertical="center"/>
    </xf>
    <xf numFmtId="0" fontId="0" fillId="0" borderId="1" xfId="0" applyFont="1" applyFill="1" applyBorder="1" applyAlignment="1">
      <alignment horizontal="left"/>
    </xf>
    <xf numFmtId="0" fontId="15" fillId="0" borderId="1" xfId="8" applyFont="1" applyFill="1" applyBorder="1" applyAlignment="1">
      <alignment horizontal="right" vertical="center"/>
    </xf>
    <xf numFmtId="0" fontId="15" fillId="0" borderId="1" xfId="8" applyFont="1" applyFill="1" applyBorder="1" applyAlignment="1">
      <alignment horizontal="left" vertical="center"/>
    </xf>
    <xf numFmtId="164" fontId="14" fillId="0" borderId="1" xfId="0" applyNumberFormat="1" applyFont="1" applyFill="1" applyBorder="1" applyAlignment="1">
      <alignment horizontal="right" vertical="center" wrapText="1"/>
    </xf>
    <xf numFmtId="165" fontId="15" fillId="0" borderId="1" xfId="1" applyNumberFormat="1" applyFont="1" applyFill="1" applyBorder="1" applyAlignment="1">
      <alignment horizontal="left" vertical="center"/>
    </xf>
    <xf numFmtId="0" fontId="15" fillId="7" borderId="1" xfId="0" applyNumberFormat="1" applyFont="1" applyFill="1" applyBorder="1" applyAlignment="1">
      <alignment horizontal="right" vertical="center"/>
    </xf>
    <xf numFmtId="0" fontId="0" fillId="0" borderId="0" xfId="0" applyFill="1"/>
    <xf numFmtId="0" fontId="14" fillId="7" borderId="1" xfId="0" applyNumberFormat="1" applyFont="1" applyFill="1" applyBorder="1" applyAlignment="1">
      <alignment horizontal="right" vertical="center"/>
    </xf>
    <xf numFmtId="0" fontId="0" fillId="7" borderId="1" xfId="0" applyNumberFormat="1" applyFill="1" applyBorder="1" applyAlignment="1">
      <alignment horizontal="right"/>
    </xf>
    <xf numFmtId="0" fontId="14" fillId="7" borderId="1" xfId="0" applyNumberFormat="1" applyFont="1" applyFill="1" applyBorder="1" applyAlignment="1">
      <alignment horizontal="right" vertical="center" wrapText="1"/>
    </xf>
    <xf numFmtId="165" fontId="14" fillId="0" borderId="1" xfId="1" applyNumberFormat="1" applyFont="1" applyFill="1" applyBorder="1" applyAlignment="1">
      <alignment horizontal="left" vertical="center"/>
    </xf>
    <xf numFmtId="0" fontId="0" fillId="18" borderId="1" xfId="0" applyFill="1" applyBorder="1" applyAlignment="1">
      <alignment vertical="center"/>
    </xf>
    <xf numFmtId="0" fontId="15" fillId="18" borderId="1" xfId="0" applyFont="1" applyFill="1" applyBorder="1" applyAlignment="1">
      <alignment vertical="center"/>
    </xf>
    <xf numFmtId="0" fontId="15" fillId="18" borderId="0" xfId="0" applyFont="1" applyFill="1" applyBorder="1" applyAlignment="1">
      <alignment vertical="center"/>
    </xf>
    <xf numFmtId="165" fontId="0" fillId="11" borderId="1" xfId="0" applyNumberFormat="1" applyFill="1" applyBorder="1"/>
    <xf numFmtId="0" fontId="14" fillId="18" borderId="1" xfId="0" applyFont="1" applyFill="1" applyBorder="1" applyAlignment="1">
      <alignment vertical="center"/>
    </xf>
    <xf numFmtId="0" fontId="27" fillId="19" borderId="1" xfId="0" applyFont="1" applyFill="1" applyBorder="1" applyAlignment="1" applyProtection="1">
      <alignment horizontal="center" vertical="center" wrapText="1"/>
      <protection hidden="1"/>
    </xf>
    <xf numFmtId="49" fontId="27" fillId="19" borderId="1" xfId="0" applyNumberFormat="1" applyFont="1" applyFill="1" applyBorder="1" applyAlignment="1" applyProtection="1">
      <alignment horizontal="center" vertical="center" wrapText="1"/>
      <protection hidden="1"/>
    </xf>
    <xf numFmtId="43" fontId="27" fillId="19" borderId="1" xfId="6" applyFont="1" applyFill="1" applyBorder="1" applyAlignment="1" applyProtection="1">
      <alignment horizontal="center" vertical="center" wrapText="1"/>
      <protection hidden="1"/>
    </xf>
    <xf numFmtId="1" fontId="28" fillId="0" borderId="1" xfId="0" applyNumberFormat="1" applyFont="1" applyBorder="1" applyAlignment="1">
      <alignment horizontal="center" vertical="center" shrinkToFit="1"/>
    </xf>
    <xf numFmtId="39" fontId="3" fillId="0" borderId="1" xfId="6" applyNumberFormat="1" applyFont="1" applyBorder="1" applyAlignment="1" applyProtection="1">
      <alignment horizontal="center" vertical="center" wrapText="1"/>
      <protection hidden="1"/>
    </xf>
    <xf numFmtId="44" fontId="2" fillId="2" borderId="1" xfId="1" applyFont="1" applyFill="1" applyBorder="1" applyAlignment="1" applyProtection="1">
      <alignment horizontal="center" vertical="center" wrapText="1"/>
      <protection hidden="1"/>
    </xf>
    <xf numFmtId="10" fontId="2" fillId="2" borderId="1" xfId="1" applyNumberFormat="1" applyFont="1" applyFill="1" applyBorder="1" applyAlignment="1" applyProtection="1">
      <alignment horizontal="center" vertical="center" wrapText="1"/>
      <protection hidden="1"/>
    </xf>
    <xf numFmtId="10" fontId="3" fillId="20" borderId="1" xfId="2" applyNumberFormat="1" applyFont="1" applyFill="1" applyBorder="1" applyAlignment="1" applyProtection="1">
      <alignment horizontal="center" vertical="center" wrapText="1"/>
      <protection locked="0" hidden="1"/>
    </xf>
    <xf numFmtId="44" fontId="3" fillId="2" borderId="1" xfId="1" applyFont="1" applyFill="1" applyBorder="1" applyAlignment="1" applyProtection="1">
      <alignment horizontal="center" vertical="center" wrapText="1"/>
      <protection hidden="1"/>
    </xf>
    <xf numFmtId="39" fontId="3" fillId="4" borderId="1" xfId="6" applyNumberFormat="1" applyFont="1" applyFill="1" applyBorder="1" applyAlignment="1" applyProtection="1">
      <alignment horizontal="center" vertical="center" wrapText="1"/>
      <protection hidden="1"/>
    </xf>
    <xf numFmtId="39" fontId="29" fillId="4" borderId="1" xfId="6" applyNumberFormat="1" applyFont="1" applyFill="1" applyBorder="1" applyAlignment="1" applyProtection="1">
      <alignment horizontal="center" vertical="center" wrapText="1"/>
      <protection hidden="1"/>
    </xf>
    <xf numFmtId="1" fontId="28" fillId="4" borderId="1" xfId="0" applyNumberFormat="1" applyFont="1" applyFill="1" applyBorder="1" applyAlignment="1">
      <alignment horizontal="center" vertical="center" shrinkToFit="1"/>
    </xf>
    <xf numFmtId="44" fontId="2" fillId="4" borderId="1" xfId="1" applyFont="1" applyFill="1" applyBorder="1" applyAlignment="1" applyProtection="1">
      <alignment horizontal="center" vertical="center" wrapText="1"/>
      <protection hidden="1"/>
    </xf>
    <xf numFmtId="10" fontId="2" fillId="4" borderId="1" xfId="1" applyNumberFormat="1" applyFont="1" applyFill="1" applyBorder="1" applyAlignment="1" applyProtection="1">
      <alignment horizontal="center" vertical="center" wrapText="1"/>
      <protection hidden="1"/>
    </xf>
    <xf numFmtId="10" fontId="3" fillId="4" borderId="1" xfId="2" applyNumberFormat="1" applyFont="1" applyFill="1" applyBorder="1" applyAlignment="1" applyProtection="1">
      <alignment horizontal="center" vertical="center" wrapText="1"/>
      <protection locked="0" hidden="1"/>
    </xf>
    <xf numFmtId="44" fontId="3" fillId="4" borderId="1" xfId="1" applyFont="1" applyFill="1" applyBorder="1" applyAlignment="1" applyProtection="1">
      <alignment horizontal="center" vertical="center" wrapText="1"/>
      <protection hidden="1"/>
    </xf>
    <xf numFmtId="49" fontId="27" fillId="19" borderId="1" xfId="0" applyNumberFormat="1" applyFont="1" applyFill="1" applyBorder="1" applyAlignment="1" applyProtection="1">
      <alignment horizontal="center" vertical="center"/>
      <protection hidden="1"/>
    </xf>
    <xf numFmtId="49" fontId="28"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49" fontId="2" fillId="4" borderId="1" xfId="0" applyNumberFormat="1" applyFont="1" applyFill="1" applyBorder="1" applyAlignment="1">
      <alignment horizontal="left" vertical="center"/>
    </xf>
    <xf numFmtId="49" fontId="29" fillId="0" borderId="1" xfId="0" applyNumberFormat="1" applyFont="1" applyBorder="1" applyAlignment="1">
      <alignment horizontal="left" vertical="center"/>
    </xf>
    <xf numFmtId="49" fontId="28" fillId="4" borderId="1" xfId="0" applyNumberFormat="1" applyFont="1" applyFill="1" applyBorder="1" applyAlignment="1">
      <alignment horizontal="left" vertical="center"/>
    </xf>
    <xf numFmtId="0" fontId="2" fillId="0" borderId="1" xfId="0" applyFont="1" applyBorder="1" applyAlignment="1">
      <alignment horizontal="left" vertical="center"/>
    </xf>
    <xf numFmtId="0" fontId="0" fillId="0" borderId="0" xfId="0" applyAlignment="1"/>
    <xf numFmtId="0" fontId="27" fillId="19" borderId="1" xfId="0" applyFont="1" applyFill="1" applyBorder="1" applyAlignment="1" applyProtection="1">
      <alignment horizontal="center" vertical="center"/>
      <protection hidden="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7" fillId="19" borderId="1" xfId="0" applyFont="1" applyFill="1" applyBorder="1" applyAlignment="1" applyProtection="1">
      <alignment horizontal="left" vertical="center"/>
      <protection hidden="1"/>
    </xf>
    <xf numFmtId="0" fontId="2" fillId="4" borderId="1" xfId="0" applyFont="1" applyFill="1" applyBorder="1" applyAlignment="1">
      <alignment horizontal="left" vertical="center"/>
    </xf>
    <xf numFmtId="0" fontId="29" fillId="0" borderId="1" xfId="0" applyFont="1" applyBorder="1" applyAlignment="1">
      <alignment horizontal="left" vertical="center"/>
    </xf>
    <xf numFmtId="0" fontId="0" fillId="21" borderId="1" xfId="0" applyFill="1" applyBorder="1"/>
    <xf numFmtId="166" fontId="0" fillId="11" borderId="1" xfId="6" applyNumberFormat="1" applyFont="1" applyFill="1" applyBorder="1"/>
    <xf numFmtId="0" fontId="0" fillId="22" borderId="1" xfId="0" applyFill="1" applyBorder="1"/>
    <xf numFmtId="14" fontId="16" fillId="0" borderId="1" xfId="0" applyNumberFormat="1" applyFont="1" applyFill="1" applyBorder="1" applyAlignment="1">
      <alignment horizontal="center"/>
    </xf>
    <xf numFmtId="0" fontId="0" fillId="0" borderId="1" xfId="0" applyBorder="1" applyAlignment="1">
      <alignment horizontal="left"/>
    </xf>
    <xf numFmtId="0" fontId="16" fillId="0" borderId="1" xfId="0" applyFont="1" applyFill="1" applyBorder="1" applyAlignment="1">
      <alignment horizontal="left"/>
    </xf>
    <xf numFmtId="0" fontId="0" fillId="4" borderId="1" xfId="0" applyFill="1" applyBorder="1" applyAlignment="1">
      <alignment horizontal="left"/>
    </xf>
    <xf numFmtId="49" fontId="27" fillId="18" borderId="1" xfId="0" applyNumberFormat="1" applyFont="1" applyFill="1" applyBorder="1" applyAlignment="1" applyProtection="1">
      <alignment horizontal="center" vertical="center" wrapText="1"/>
      <protection hidden="1"/>
    </xf>
    <xf numFmtId="166" fontId="0" fillId="0" borderId="1" xfId="6" applyNumberFormat="1" applyFont="1" applyFill="1" applyBorder="1"/>
    <xf numFmtId="165" fontId="0" fillId="0" borderId="12" xfId="1" applyNumberFormat="1" applyFont="1" applyFill="1" applyBorder="1"/>
    <xf numFmtId="166" fontId="0" fillId="0" borderId="1" xfId="0" applyNumberFormat="1" applyBorder="1"/>
    <xf numFmtId="165" fontId="0" fillId="11" borderId="1" xfId="1" applyNumberFormat="1" applyFont="1" applyFill="1" applyBorder="1"/>
    <xf numFmtId="166" fontId="0" fillId="0" borderId="12" xfId="6" applyNumberFormat="1" applyFont="1" applyFill="1" applyBorder="1"/>
    <xf numFmtId="166" fontId="0" fillId="0" borderId="12" xfId="0" applyNumberFormat="1" applyFill="1" applyBorder="1"/>
    <xf numFmtId="165" fontId="0" fillId="0" borderId="1" xfId="0" applyNumberFormat="1" applyFill="1" applyBorder="1"/>
    <xf numFmtId="0" fontId="6" fillId="23" borderId="1" xfId="0" applyFont="1" applyFill="1" applyBorder="1"/>
    <xf numFmtId="166" fontId="6" fillId="23" borderId="1" xfId="6" applyNumberFormat="1" applyFont="1" applyFill="1" applyBorder="1"/>
    <xf numFmtId="0" fontId="0" fillId="24" borderId="1" xfId="0" applyFont="1" applyFill="1" applyBorder="1"/>
    <xf numFmtId="165" fontId="0" fillId="24" borderId="1" xfId="1" applyNumberFormat="1" applyFont="1" applyFill="1" applyBorder="1"/>
    <xf numFmtId="0" fontId="0" fillId="0" borderId="1" xfId="0" applyFont="1" applyBorder="1"/>
    <xf numFmtId="166" fontId="0" fillId="0" borderId="0" xfId="0" applyNumberFormat="1"/>
    <xf numFmtId="166" fontId="0" fillId="4" borderId="1" xfId="0" applyNumberFormat="1" applyFill="1" applyBorder="1"/>
    <xf numFmtId="44" fontId="0" fillId="0" borderId="0" xfId="0" applyNumberFormat="1"/>
    <xf numFmtId="166" fontId="14" fillId="0" borderId="1" xfId="0" applyNumberFormat="1" applyFont="1" applyBorder="1"/>
    <xf numFmtId="0" fontId="14" fillId="0" borderId="1" xfId="0" applyFont="1" applyBorder="1"/>
    <xf numFmtId="44" fontId="14" fillId="0" borderId="1" xfId="1" applyFont="1" applyBorder="1"/>
    <xf numFmtId="0" fontId="7" fillId="4" borderId="1" xfId="0" applyFont="1" applyFill="1" applyBorder="1" applyAlignment="1">
      <alignment horizontal="center"/>
    </xf>
    <xf numFmtId="0" fontId="7" fillId="4" borderId="1" xfId="0" applyFont="1" applyFill="1" applyBorder="1"/>
    <xf numFmtId="165" fontId="7" fillId="4" borderId="1" xfId="1" applyNumberFormat="1" applyFont="1" applyFill="1" applyBorder="1"/>
    <xf numFmtId="9" fontId="0" fillId="0" borderId="0" xfId="0" applyNumberFormat="1"/>
    <xf numFmtId="43" fontId="0" fillId="0" borderId="0" xfId="6" applyFont="1"/>
    <xf numFmtId="43" fontId="7" fillId="0" borderId="0" xfId="6" applyFont="1"/>
    <xf numFmtId="0" fontId="7"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1" fillId="0" borderId="1" xfId="3" applyFont="1" applyFill="1" applyBorder="1" applyAlignment="1">
      <alignment horizontal="center" vertical="center"/>
    </xf>
    <xf numFmtId="0" fontId="31" fillId="0" borderId="1" xfId="0" applyFont="1" applyFill="1" applyBorder="1" applyAlignment="1">
      <alignment horizontal="center" vertical="center" wrapText="1"/>
    </xf>
    <xf numFmtId="41" fontId="11" fillId="0" borderId="1" xfId="0" applyNumberFormat="1" applyFont="1" applyFill="1" applyBorder="1" applyAlignment="1">
      <alignment horizontal="center" vertical="center"/>
    </xf>
    <xf numFmtId="41" fontId="31" fillId="0" borderId="1" xfId="9" applyFont="1" applyFill="1" applyBorder="1" applyAlignment="1">
      <alignment vertical="center"/>
    </xf>
    <xf numFmtId="0" fontId="31" fillId="0" borderId="1" xfId="0" applyFont="1" applyFill="1" applyBorder="1" applyAlignment="1">
      <alignment horizontal="left" vertical="center" wrapText="1"/>
    </xf>
    <xf numFmtId="41" fontId="31" fillId="0" borderId="1" xfId="9" applyFont="1" applyFill="1" applyBorder="1" applyAlignment="1">
      <alignment horizontal="center" vertical="center"/>
    </xf>
    <xf numFmtId="0" fontId="31" fillId="0" borderId="1" xfId="10" applyFont="1" applyFill="1" applyBorder="1" applyAlignment="1">
      <alignment horizontal="center" vertical="center" wrapText="1"/>
    </xf>
    <xf numFmtId="0" fontId="6" fillId="23" borderId="12" xfId="0" applyFont="1" applyFill="1" applyBorder="1"/>
    <xf numFmtId="44" fontId="0" fillId="0" borderId="0" xfId="1" applyFont="1"/>
    <xf numFmtId="49" fontId="27" fillId="21" borderId="1" xfId="0" applyNumberFormat="1" applyFont="1" applyFill="1" applyBorder="1" applyAlignment="1" applyProtection="1">
      <alignment horizontal="center" vertical="center" wrapText="1"/>
      <protection hidden="1"/>
    </xf>
    <xf numFmtId="44" fontId="0" fillId="25" borderId="0" xfId="0" applyNumberFormat="1" applyFill="1"/>
    <xf numFmtId="0" fontId="7" fillId="0" borderId="1" xfId="0" applyFont="1" applyBorder="1"/>
    <xf numFmtId="165" fontId="7" fillId="0" borderId="1" xfId="0" applyNumberFormat="1" applyFont="1" applyBorder="1"/>
    <xf numFmtId="165" fontId="7" fillId="24" borderId="1" xfId="1" applyNumberFormat="1" applyFont="1" applyFill="1" applyBorder="1"/>
    <xf numFmtId="165" fontId="7" fillId="0" borderId="1" xfId="1" applyNumberFormat="1" applyFont="1" applyBorder="1"/>
    <xf numFmtId="49" fontId="6" fillId="5" borderId="1" xfId="0" applyNumberFormat="1"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49" fontId="6" fillId="5" borderId="1" xfId="0" applyNumberFormat="1" applyFont="1" applyFill="1" applyBorder="1" applyAlignment="1" applyProtection="1">
      <alignment horizontal="center" vertical="center" wrapText="1"/>
      <protection hidden="1"/>
    </xf>
    <xf numFmtId="0" fontId="6" fillId="5" borderId="1"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7" xfId="0" applyFont="1" applyFill="1" applyBorder="1" applyAlignment="1">
      <alignment horizontal="center" vertical="center"/>
    </xf>
    <xf numFmtId="0" fontId="7" fillId="11" borderId="6" xfId="0" applyFont="1" applyFill="1" applyBorder="1" applyAlignment="1">
      <alignment horizontal="center" vertical="center"/>
    </xf>
    <xf numFmtId="0" fontId="7" fillId="11" borderId="7" xfId="0" applyFont="1" applyFill="1" applyBorder="1" applyAlignment="1">
      <alignment horizontal="center" vertical="center"/>
    </xf>
    <xf numFmtId="1" fontId="7" fillId="11" borderId="6" xfId="0" applyNumberFormat="1" applyFont="1" applyFill="1" applyBorder="1" applyAlignment="1">
      <alignment horizontal="center" vertical="center"/>
    </xf>
    <xf numFmtId="1" fontId="7" fillId="11" borderId="7" xfId="0" applyNumberFormat="1" applyFont="1" applyFill="1" applyBorder="1" applyAlignment="1">
      <alignment horizontal="center" vertical="center"/>
    </xf>
    <xf numFmtId="0" fontId="11" fillId="6" borderId="1" xfId="0" applyFont="1" applyFill="1" applyBorder="1" applyAlignment="1" applyProtection="1">
      <alignment horizontal="center" vertical="center" wrapText="1"/>
      <protection locked="0"/>
    </xf>
    <xf numFmtId="0" fontId="11" fillId="13" borderId="6"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7" xfId="0" applyFont="1" applyFill="1" applyBorder="1" applyAlignment="1" applyProtection="1">
      <alignment horizontal="center" vertical="center" wrapText="1"/>
      <protection locked="0"/>
    </xf>
    <xf numFmtId="0" fontId="7" fillId="14" borderId="6"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1" fontId="7" fillId="7" borderId="6" xfId="0" applyNumberFormat="1" applyFont="1" applyFill="1" applyBorder="1" applyAlignment="1">
      <alignment horizontal="center" vertical="center"/>
    </xf>
    <xf numFmtId="1" fontId="7" fillId="7" borderId="7" xfId="0" applyNumberFormat="1" applyFont="1" applyFill="1" applyBorder="1" applyAlignment="1">
      <alignment horizontal="center" vertical="center"/>
    </xf>
    <xf numFmtId="49" fontId="20" fillId="10" borderId="1" xfId="0" applyNumberFormat="1" applyFont="1" applyFill="1" applyBorder="1" applyAlignment="1" applyProtection="1">
      <alignment horizontal="center" vertical="center" wrapText="1"/>
      <protection hidden="1"/>
    </xf>
    <xf numFmtId="49" fontId="20" fillId="12" borderId="1" xfId="0" applyNumberFormat="1" applyFont="1" applyFill="1" applyBorder="1" applyAlignment="1" applyProtection="1">
      <alignment horizontal="center" vertical="center" wrapText="1"/>
      <protection hidden="1"/>
    </xf>
    <xf numFmtId="49" fontId="20" fillId="11" borderId="1" xfId="0" applyNumberFormat="1" applyFont="1" applyFill="1" applyBorder="1" applyAlignment="1" applyProtection="1">
      <alignment horizontal="center" vertical="center" wrapText="1"/>
      <protection hidden="1"/>
    </xf>
    <xf numFmtId="49" fontId="20" fillId="6" borderId="1" xfId="0" applyNumberFormat="1" applyFont="1" applyFill="1" applyBorder="1" applyAlignment="1" applyProtection="1">
      <alignment horizontal="center" vertical="center" wrapText="1"/>
      <protection hidden="1"/>
    </xf>
    <xf numFmtId="49" fontId="20" fillId="4" borderId="1" xfId="0" applyNumberFormat="1" applyFont="1" applyFill="1" applyBorder="1" applyAlignment="1" applyProtection="1">
      <alignment horizontal="center" vertical="center" wrapText="1"/>
      <protection hidden="1"/>
    </xf>
    <xf numFmtId="49" fontId="19" fillId="10" borderId="1" xfId="0" applyNumberFormat="1" applyFont="1" applyFill="1" applyBorder="1" applyAlignment="1" applyProtection="1">
      <alignment horizontal="center" vertical="center" wrapText="1"/>
      <protection hidden="1"/>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49" fontId="19" fillId="5" borderId="9" xfId="0" applyNumberFormat="1" applyFont="1" applyFill="1" applyBorder="1" applyAlignment="1" applyProtection="1">
      <alignment horizontal="center" vertical="center" wrapText="1"/>
      <protection hidden="1"/>
    </xf>
    <xf numFmtId="49" fontId="19" fillId="5" borderId="10" xfId="0" applyNumberFormat="1" applyFont="1" applyFill="1" applyBorder="1" applyAlignment="1" applyProtection="1">
      <alignment horizontal="center" vertical="center" wrapText="1"/>
      <protection hidden="1"/>
    </xf>
    <xf numFmtId="49" fontId="19" fillId="5" borderId="0" xfId="0" applyNumberFormat="1" applyFont="1" applyFill="1" applyBorder="1" applyAlignment="1" applyProtection="1">
      <alignment horizontal="center" vertical="center" wrapText="1"/>
      <protection hidden="1"/>
    </xf>
    <xf numFmtId="49" fontId="19" fillId="5" borderId="11" xfId="0" applyNumberFormat="1" applyFont="1" applyFill="1" applyBorder="1" applyAlignment="1" applyProtection="1">
      <alignment horizontal="center" vertical="center" wrapText="1"/>
      <protection hidden="1"/>
    </xf>
  </cellXfs>
  <cellStyles count="11">
    <cellStyle name="Millares" xfId="6" builtinId="3"/>
    <cellStyle name="Millares [0]" xfId="9" builtinId="6"/>
    <cellStyle name="Moneda" xfId="1" builtinId="4"/>
    <cellStyle name="Normal" xfId="0" builtinId="0"/>
    <cellStyle name="Normal 2" xfId="3"/>
    <cellStyle name="Normal 2 2" xfId="8"/>
    <cellStyle name="Normal 2 5" xfId="10"/>
    <cellStyle name="Normal 3" xfId="5"/>
    <cellStyle name="Normal 4" xfId="7"/>
    <cellStyle name="Porcentaje" xfId="2" builtinId="5"/>
    <cellStyle name="Porcentaje 2" xfId="4"/>
  </cellStyles>
  <dxfs count="53">
    <dxf>
      <fill>
        <patternFill patternType="solid">
          <fgColor rgb="FFFFC000"/>
          <bgColor rgb="FF000000"/>
        </patternFill>
      </fill>
    </dxf>
    <dxf>
      <font>
        <color theme="0"/>
      </font>
    </dxf>
    <dxf>
      <font>
        <color theme="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FF"/>
      <color rgb="FFA8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pena\Downloads\168527%20-%20R11%20SEC%20GRAL%20ALCALDIA%20BOGO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Operario de aseo y cafetería con compromiso social</v>
          </cell>
        </row>
        <row r="3">
          <cell r="H3" t="str">
            <v>Operario de aseo y cafetería</v>
          </cell>
        </row>
        <row r="4">
          <cell r="H4" t="str">
            <v>Operario de mantenimiento</v>
          </cell>
        </row>
        <row r="5">
          <cell r="H5" t="str">
            <v>Operario auxiliar</v>
          </cell>
        </row>
        <row r="6">
          <cell r="H6" t="str">
            <v>Coordinador de tiempo completo</v>
          </cell>
        </row>
        <row r="7">
          <cell r="H7" t="str">
            <v>Jardinero</v>
          </cell>
        </row>
        <row r="8">
          <cell r="H8" t="str">
            <v>Operario de mantenimiento capacitado para trabajo en alturas</v>
          </cell>
        </row>
        <row r="9">
          <cell r="H9" t="str">
            <v>Operario auxiliar capacitado para trabajo en alturas</v>
          </cell>
        </row>
        <row r="10">
          <cell r="H10" t="str">
            <v>Jardinero capacitado para trabajo en alturas</v>
          </cell>
        </row>
        <row r="11">
          <cell r="H11" t="str">
            <v>Coordinador de trabajo en alturas</v>
          </cell>
        </row>
      </sheetData>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O32"/>
  <sheetViews>
    <sheetView zoomScale="68" zoomScaleNormal="68" workbookViewId="0">
      <selection activeCell="D15" sqref="D15"/>
    </sheetView>
  </sheetViews>
  <sheetFormatPr baseColWidth="10" defaultColWidth="10.85546875" defaultRowHeight="15"/>
  <cols>
    <col min="2" max="2" width="24.7109375" bestFit="1" customWidth="1"/>
    <col min="3" max="3" width="53.140625" bestFit="1" customWidth="1"/>
    <col min="4" max="4" width="21.7109375" customWidth="1"/>
    <col min="5" max="5" width="18.140625" customWidth="1"/>
    <col min="6" max="9" width="15.5703125" customWidth="1"/>
    <col min="10" max="10" width="17.28515625" customWidth="1"/>
    <col min="11" max="11" width="15.42578125" bestFit="1" customWidth="1"/>
    <col min="12" max="12" width="12.5703125" customWidth="1"/>
    <col min="13" max="13" width="8.7109375" customWidth="1"/>
    <col min="14" max="15" width="9.85546875" customWidth="1"/>
    <col min="16" max="16" width="9.140625" customWidth="1"/>
    <col min="17" max="17" width="8.85546875" customWidth="1"/>
    <col min="18" max="18" width="11.28515625" customWidth="1"/>
    <col min="19" max="19" width="11.42578125" customWidth="1"/>
    <col min="20" max="20" width="15.85546875" customWidth="1"/>
    <col min="21" max="21" width="13.42578125" customWidth="1"/>
    <col min="22" max="22" width="11.42578125" customWidth="1"/>
    <col min="23" max="23" width="15.5703125" customWidth="1"/>
    <col min="24" max="24" width="13.28515625" customWidth="1"/>
    <col min="25" max="25" width="13.7109375" customWidth="1"/>
    <col min="26" max="26" width="14.85546875" customWidth="1"/>
    <col min="27" max="27" width="10.28515625" customWidth="1"/>
    <col min="28" max="28" width="13" customWidth="1"/>
    <col min="29" max="29" width="11" customWidth="1"/>
    <col min="30" max="30" width="12.5703125" customWidth="1"/>
    <col min="31" max="31" width="13.140625" customWidth="1"/>
    <col min="32" max="32" width="11.7109375" customWidth="1"/>
    <col min="33" max="33" width="12.28515625" customWidth="1"/>
    <col min="34" max="34" width="12" customWidth="1"/>
    <col min="35" max="35" width="13.7109375" customWidth="1"/>
    <col min="36" max="36" width="14.5703125" customWidth="1"/>
    <col min="37" max="37" width="11.5703125" customWidth="1"/>
    <col min="38" max="38" width="18.5703125" style="35" customWidth="1"/>
    <col min="39" max="39" width="25.85546875" style="35" customWidth="1"/>
    <col min="40" max="40" width="12.85546875" customWidth="1"/>
    <col min="41" max="41" width="16" customWidth="1"/>
  </cols>
  <sheetData>
    <row r="1" spans="1:41" ht="26.1" customHeight="1">
      <c r="A1" s="244" t="s">
        <v>22</v>
      </c>
      <c r="B1" s="244"/>
      <c r="C1" s="244"/>
      <c r="D1" s="244"/>
      <c r="E1" s="244"/>
      <c r="F1" s="244"/>
      <c r="G1" s="244"/>
      <c r="H1" s="244"/>
      <c r="I1" s="244"/>
      <c r="J1" s="244"/>
      <c r="K1" s="244"/>
      <c r="L1" s="5" t="s">
        <v>23</v>
      </c>
      <c r="M1" s="5" t="s">
        <v>23</v>
      </c>
      <c r="N1" s="5" t="s">
        <v>23</v>
      </c>
      <c r="O1" s="5" t="s">
        <v>23</v>
      </c>
      <c r="P1" s="5" t="s">
        <v>23</v>
      </c>
      <c r="Q1" s="5" t="s">
        <v>23</v>
      </c>
      <c r="R1" s="5" t="s">
        <v>23</v>
      </c>
      <c r="S1" s="5" t="s">
        <v>23</v>
      </c>
      <c r="T1" s="5" t="s">
        <v>23</v>
      </c>
      <c r="U1" s="5" t="s">
        <v>23</v>
      </c>
      <c r="V1" s="5" t="s">
        <v>23</v>
      </c>
      <c r="W1" s="5" t="s">
        <v>23</v>
      </c>
      <c r="X1" s="5" t="s">
        <v>23</v>
      </c>
      <c r="Y1" s="5" t="s">
        <v>23</v>
      </c>
      <c r="Z1" s="5" t="s">
        <v>23</v>
      </c>
      <c r="AA1" s="5" t="s">
        <v>23</v>
      </c>
      <c r="AB1" s="5" t="s">
        <v>23</v>
      </c>
      <c r="AC1" s="5" t="s">
        <v>23</v>
      </c>
      <c r="AD1" s="5" t="s">
        <v>23</v>
      </c>
      <c r="AE1" s="5" t="s">
        <v>23</v>
      </c>
      <c r="AF1" s="5" t="s">
        <v>23</v>
      </c>
      <c r="AG1" s="5" t="s">
        <v>23</v>
      </c>
      <c r="AH1" s="5" t="s">
        <v>23</v>
      </c>
      <c r="AI1" s="5" t="s">
        <v>23</v>
      </c>
      <c r="AJ1" s="5" t="s">
        <v>23</v>
      </c>
      <c r="AK1" s="245" t="s">
        <v>24</v>
      </c>
      <c r="AL1" s="246" t="s">
        <v>124</v>
      </c>
      <c r="AM1" s="246" t="s">
        <v>125</v>
      </c>
      <c r="AN1" s="246" t="s">
        <v>126</v>
      </c>
      <c r="AO1" s="243" t="s">
        <v>25</v>
      </c>
    </row>
    <row r="2" spans="1:41" ht="30.6" customHeight="1">
      <c r="A2" s="244"/>
      <c r="B2" s="244"/>
      <c r="C2" s="244"/>
      <c r="D2" s="244"/>
      <c r="E2" s="244"/>
      <c r="F2" s="244"/>
      <c r="G2" s="244"/>
      <c r="H2" s="244"/>
      <c r="I2" s="244"/>
      <c r="J2" s="244"/>
      <c r="K2" s="244"/>
      <c r="L2" s="7" t="s">
        <v>26</v>
      </c>
      <c r="M2" s="7" t="s">
        <v>27</v>
      </c>
      <c r="N2" s="7" t="s">
        <v>28</v>
      </c>
      <c r="O2" s="7" t="s">
        <v>29</v>
      </c>
      <c r="P2" s="7" t="s">
        <v>30</v>
      </c>
      <c r="Q2" s="7" t="s">
        <v>31</v>
      </c>
      <c r="R2" s="7" t="s">
        <v>32</v>
      </c>
      <c r="S2" s="7" t="s">
        <v>33</v>
      </c>
      <c r="T2" s="7" t="s">
        <v>34</v>
      </c>
      <c r="U2" s="7" t="s">
        <v>35</v>
      </c>
      <c r="V2" s="7" t="s">
        <v>36</v>
      </c>
      <c r="W2" s="7" t="s">
        <v>37</v>
      </c>
      <c r="X2" s="7" t="s">
        <v>38</v>
      </c>
      <c r="Y2" s="7" t="s">
        <v>39</v>
      </c>
      <c r="Z2" s="7" t="s">
        <v>40</v>
      </c>
      <c r="AA2" s="7" t="s">
        <v>41</v>
      </c>
      <c r="AB2" s="7" t="s">
        <v>42</v>
      </c>
      <c r="AC2" s="7" t="s">
        <v>43</v>
      </c>
      <c r="AD2" s="7" t="s">
        <v>44</v>
      </c>
      <c r="AE2" s="7" t="s">
        <v>45</v>
      </c>
      <c r="AF2" s="7" t="s">
        <v>46</v>
      </c>
      <c r="AG2" s="7" t="s">
        <v>47</v>
      </c>
      <c r="AH2" s="7" t="s">
        <v>48</v>
      </c>
      <c r="AI2" s="7" t="s">
        <v>49</v>
      </c>
      <c r="AJ2" s="7" t="s">
        <v>50</v>
      </c>
      <c r="AK2" s="245"/>
      <c r="AL2" s="246"/>
      <c r="AM2" s="246"/>
      <c r="AN2" s="246"/>
      <c r="AO2" s="243"/>
    </row>
    <row r="3" spans="1:41" ht="30.6" customHeight="1">
      <c r="A3" s="70"/>
      <c r="B3" s="70"/>
      <c r="C3" s="70"/>
      <c r="D3" s="70"/>
      <c r="E3" s="70"/>
      <c r="F3" s="70"/>
      <c r="G3" s="70"/>
      <c r="H3" s="70"/>
      <c r="I3" s="70"/>
      <c r="J3" s="70"/>
      <c r="K3" s="70"/>
      <c r="L3" s="69" t="s">
        <v>479</v>
      </c>
      <c r="M3" s="69" t="s">
        <v>480</v>
      </c>
      <c r="N3" s="69" t="s">
        <v>481</v>
      </c>
      <c r="O3" s="69" t="s">
        <v>482</v>
      </c>
      <c r="P3" s="69" t="s">
        <v>483</v>
      </c>
      <c r="Q3" s="69" t="s">
        <v>484</v>
      </c>
      <c r="R3" s="69" t="s">
        <v>485</v>
      </c>
      <c r="S3" s="69" t="s">
        <v>486</v>
      </c>
      <c r="T3" s="69" t="s">
        <v>487</v>
      </c>
      <c r="U3" s="69" t="s">
        <v>488</v>
      </c>
      <c r="V3" s="69" t="s">
        <v>489</v>
      </c>
      <c r="W3" s="69" t="s">
        <v>490</v>
      </c>
      <c r="X3" s="69" t="s">
        <v>491</v>
      </c>
      <c r="Y3" s="69" t="s">
        <v>492</v>
      </c>
      <c r="Z3" s="69" t="s">
        <v>493</v>
      </c>
      <c r="AA3" s="69" t="s">
        <v>494</v>
      </c>
      <c r="AB3" s="69" t="s">
        <v>495</v>
      </c>
      <c r="AC3" s="69" t="s">
        <v>496</v>
      </c>
      <c r="AD3" s="69" t="s">
        <v>497</v>
      </c>
      <c r="AE3" s="69" t="s">
        <v>498</v>
      </c>
      <c r="AF3" s="69" t="s">
        <v>499</v>
      </c>
      <c r="AG3" s="69" t="s">
        <v>500</v>
      </c>
      <c r="AH3" s="69" t="s">
        <v>501</v>
      </c>
      <c r="AI3" s="69" t="s">
        <v>502</v>
      </c>
      <c r="AJ3" s="69" t="s">
        <v>503</v>
      </c>
      <c r="AK3" s="245"/>
      <c r="AL3" s="246"/>
      <c r="AM3" s="246"/>
      <c r="AN3" s="246"/>
      <c r="AO3" s="243"/>
    </row>
    <row r="4" spans="1:41" ht="75" customHeight="1">
      <c r="A4" s="5" t="s">
        <v>51</v>
      </c>
      <c r="B4" s="5" t="s">
        <v>52</v>
      </c>
      <c r="C4" s="6" t="s">
        <v>53</v>
      </c>
      <c r="D4" s="5" t="s">
        <v>54</v>
      </c>
      <c r="E4" s="5" t="s">
        <v>2</v>
      </c>
      <c r="F4" s="5" t="s">
        <v>3</v>
      </c>
      <c r="G4" s="5" t="s">
        <v>4</v>
      </c>
      <c r="H4" s="5" t="s">
        <v>5</v>
      </c>
      <c r="I4" s="6" t="s">
        <v>3</v>
      </c>
      <c r="J4" s="6" t="s">
        <v>12</v>
      </c>
      <c r="K4" s="8" t="s">
        <v>55</v>
      </c>
      <c r="L4" s="6" t="s">
        <v>56</v>
      </c>
      <c r="M4" s="6" t="s">
        <v>57</v>
      </c>
      <c r="N4" s="6" t="s">
        <v>58</v>
      </c>
      <c r="O4" s="6" t="s">
        <v>59</v>
      </c>
      <c r="P4" s="6" t="s">
        <v>60</v>
      </c>
      <c r="Q4" s="6" t="s">
        <v>61</v>
      </c>
      <c r="R4" s="6" t="s">
        <v>62</v>
      </c>
      <c r="S4" s="6" t="s">
        <v>63</v>
      </c>
      <c r="T4" s="6" t="s">
        <v>64</v>
      </c>
      <c r="U4" s="6" t="s">
        <v>65</v>
      </c>
      <c r="V4" s="6" t="s">
        <v>66</v>
      </c>
      <c r="W4" s="6" t="s">
        <v>67</v>
      </c>
      <c r="X4" s="6" t="s">
        <v>67</v>
      </c>
      <c r="Y4" s="6" t="s">
        <v>68</v>
      </c>
      <c r="Z4" s="6" t="s">
        <v>69</v>
      </c>
      <c r="AA4" s="6" t="s">
        <v>70</v>
      </c>
      <c r="AB4" s="6" t="s">
        <v>71</v>
      </c>
      <c r="AC4" s="6" t="s">
        <v>72</v>
      </c>
      <c r="AD4" s="6" t="s">
        <v>73</v>
      </c>
      <c r="AE4" s="6" t="s">
        <v>74</v>
      </c>
      <c r="AF4" s="6" t="s">
        <v>75</v>
      </c>
      <c r="AG4" s="6" t="s">
        <v>76</v>
      </c>
      <c r="AH4" s="6" t="s">
        <v>77</v>
      </c>
      <c r="AI4" s="6" t="s">
        <v>78</v>
      </c>
      <c r="AJ4" s="6" t="s">
        <v>79</v>
      </c>
      <c r="AK4" s="245"/>
      <c r="AL4" s="246"/>
      <c r="AM4" s="246"/>
      <c r="AN4" s="246"/>
      <c r="AO4" s="243"/>
    </row>
    <row r="5" spans="1:41" ht="18.95" customHeight="1">
      <c r="A5" s="9">
        <v>1</v>
      </c>
      <c r="B5" s="10" t="s">
        <v>80</v>
      </c>
      <c r="C5" s="11" t="s">
        <v>81</v>
      </c>
      <c r="D5" s="10" t="s">
        <v>1</v>
      </c>
      <c r="E5" s="12">
        <v>3389</v>
      </c>
      <c r="F5" s="12">
        <v>819</v>
      </c>
      <c r="G5" s="13">
        <v>0.19999999999999996</v>
      </c>
      <c r="H5" s="14">
        <v>0.80666863381528475</v>
      </c>
      <c r="I5" s="15">
        <v>655.20000000000005</v>
      </c>
      <c r="J5" s="16">
        <f t="shared" ref="J5:J27" si="0">I5*K5</f>
        <v>6552</v>
      </c>
      <c r="K5" s="17">
        <v>10</v>
      </c>
      <c r="L5" s="18">
        <v>10</v>
      </c>
      <c r="M5" s="18"/>
      <c r="N5" s="18"/>
      <c r="O5" s="18"/>
      <c r="P5" s="18"/>
      <c r="Q5" s="18"/>
      <c r="R5" s="18"/>
      <c r="S5" s="18"/>
      <c r="T5" s="18"/>
      <c r="U5" s="18"/>
      <c r="V5" s="18"/>
      <c r="W5" s="18"/>
      <c r="X5" s="18"/>
      <c r="Y5" s="18"/>
      <c r="Z5" s="18"/>
      <c r="AA5" s="18"/>
      <c r="AB5" s="18"/>
      <c r="AC5" s="18"/>
      <c r="AD5" s="18"/>
      <c r="AE5" s="18"/>
      <c r="AF5" s="18"/>
      <c r="AG5" s="18"/>
      <c r="AH5" s="18"/>
      <c r="AI5" s="18"/>
      <c r="AJ5" s="18"/>
      <c r="AK5" s="19">
        <f>SUM(L5:AJ5)</f>
        <v>10</v>
      </c>
      <c r="AL5" s="20">
        <v>0</v>
      </c>
      <c r="AM5" s="20">
        <f>AL5*I5</f>
        <v>0</v>
      </c>
      <c r="AN5" s="21">
        <v>6</v>
      </c>
      <c r="AO5" s="22">
        <f t="shared" ref="AO5:AO18" si="1">AK5-AL5-AN5</f>
        <v>4</v>
      </c>
    </row>
    <row r="6" spans="1:41" ht="17.100000000000001" customHeight="1">
      <c r="A6" s="9">
        <v>2</v>
      </c>
      <c r="B6" s="10" t="s">
        <v>82</v>
      </c>
      <c r="C6" s="11" t="s">
        <v>83</v>
      </c>
      <c r="D6" s="10" t="s">
        <v>1</v>
      </c>
      <c r="E6" s="12">
        <v>6832</v>
      </c>
      <c r="F6" s="12">
        <v>1885</v>
      </c>
      <c r="G6" s="13">
        <v>0.2</v>
      </c>
      <c r="H6" s="14">
        <v>0.77927400468384078</v>
      </c>
      <c r="I6" s="12">
        <v>1508</v>
      </c>
      <c r="J6" s="16">
        <f t="shared" si="0"/>
        <v>15080</v>
      </c>
      <c r="K6" s="17">
        <v>10</v>
      </c>
      <c r="L6" s="18">
        <v>10</v>
      </c>
      <c r="M6" s="18"/>
      <c r="N6" s="18"/>
      <c r="O6" s="18"/>
      <c r="P6" s="18"/>
      <c r="Q6" s="18"/>
      <c r="R6" s="18"/>
      <c r="S6" s="18"/>
      <c r="T6" s="18"/>
      <c r="U6" s="18"/>
      <c r="V6" s="18"/>
      <c r="W6" s="18"/>
      <c r="X6" s="18"/>
      <c r="Y6" s="18"/>
      <c r="Z6" s="18"/>
      <c r="AA6" s="18"/>
      <c r="AB6" s="18"/>
      <c r="AC6" s="18"/>
      <c r="AD6" s="18"/>
      <c r="AE6" s="18"/>
      <c r="AF6" s="18"/>
      <c r="AG6" s="18"/>
      <c r="AH6" s="18"/>
      <c r="AI6" s="18"/>
      <c r="AJ6" s="18"/>
      <c r="AK6" s="23">
        <f t="shared" ref="AK6:AK27" si="2">SUM(L6:AJ6)</f>
        <v>10</v>
      </c>
      <c r="AL6" s="20">
        <v>0</v>
      </c>
      <c r="AM6" s="20">
        <f t="shared" ref="AM6:AM27" si="3">AL6*I6</f>
        <v>0</v>
      </c>
      <c r="AN6" s="21">
        <v>10</v>
      </c>
      <c r="AO6" s="24">
        <f t="shared" si="1"/>
        <v>0</v>
      </c>
    </row>
    <row r="7" spans="1:41" ht="18" customHeight="1">
      <c r="A7" s="9">
        <v>3</v>
      </c>
      <c r="B7" s="10" t="s">
        <v>84</v>
      </c>
      <c r="C7" s="11" t="s">
        <v>85</v>
      </c>
      <c r="D7" s="10" t="s">
        <v>1</v>
      </c>
      <c r="E7" s="12">
        <v>32697</v>
      </c>
      <c r="F7" s="12">
        <v>13258</v>
      </c>
      <c r="G7" s="13">
        <v>0.25</v>
      </c>
      <c r="H7" s="14">
        <v>0.69588953114964669</v>
      </c>
      <c r="I7" s="12">
        <v>9943.5</v>
      </c>
      <c r="J7" s="16">
        <f t="shared" si="0"/>
        <v>696045</v>
      </c>
      <c r="K7" s="17">
        <v>70</v>
      </c>
      <c r="L7" s="18">
        <v>12</v>
      </c>
      <c r="M7" s="18">
        <v>5</v>
      </c>
      <c r="N7" s="18">
        <v>3</v>
      </c>
      <c r="O7" s="18">
        <v>1</v>
      </c>
      <c r="P7" s="18">
        <v>3</v>
      </c>
      <c r="Q7" s="18">
        <v>3</v>
      </c>
      <c r="R7" s="18">
        <v>3</v>
      </c>
      <c r="S7" s="18">
        <v>3</v>
      </c>
      <c r="T7" s="18">
        <v>3</v>
      </c>
      <c r="U7" s="18">
        <v>3</v>
      </c>
      <c r="V7" s="18">
        <v>2</v>
      </c>
      <c r="W7" s="18">
        <v>2</v>
      </c>
      <c r="X7" s="18">
        <v>2</v>
      </c>
      <c r="Y7" s="18">
        <v>2</v>
      </c>
      <c r="Z7" s="18">
        <v>2</v>
      </c>
      <c r="AA7" s="18">
        <v>2</v>
      </c>
      <c r="AB7" s="18">
        <v>2</v>
      </c>
      <c r="AC7" s="18">
        <v>3</v>
      </c>
      <c r="AD7" s="18">
        <v>2</v>
      </c>
      <c r="AE7" s="18">
        <v>2</v>
      </c>
      <c r="AF7" s="18">
        <v>2</v>
      </c>
      <c r="AG7" s="18">
        <v>2</v>
      </c>
      <c r="AH7" s="18">
        <v>2</v>
      </c>
      <c r="AI7" s="18">
        <v>2</v>
      </c>
      <c r="AJ7" s="18">
        <v>2</v>
      </c>
      <c r="AK7" s="23">
        <f t="shared" si="2"/>
        <v>70</v>
      </c>
      <c r="AL7" s="25">
        <v>58</v>
      </c>
      <c r="AM7" s="25">
        <f t="shared" si="3"/>
        <v>576723</v>
      </c>
      <c r="AN7" s="21">
        <v>12</v>
      </c>
      <c r="AO7" s="24">
        <f>AK7-AL7-AN7</f>
        <v>0</v>
      </c>
    </row>
    <row r="8" spans="1:41" ht="12.6" customHeight="1">
      <c r="A8" s="9">
        <v>4</v>
      </c>
      <c r="B8" s="10" t="s">
        <v>86</v>
      </c>
      <c r="C8" s="11" t="s">
        <v>87</v>
      </c>
      <c r="D8" s="10" t="s">
        <v>1</v>
      </c>
      <c r="E8" s="12">
        <v>56864</v>
      </c>
      <c r="F8" s="12">
        <v>25874</v>
      </c>
      <c r="G8" s="13">
        <v>0.25</v>
      </c>
      <c r="H8" s="14">
        <v>0.65873839335959483</v>
      </c>
      <c r="I8" s="12">
        <v>19405.5</v>
      </c>
      <c r="J8" s="16">
        <f t="shared" si="0"/>
        <v>834436.5</v>
      </c>
      <c r="K8" s="17">
        <v>43</v>
      </c>
      <c r="L8" s="18">
        <v>7</v>
      </c>
      <c r="M8" s="18">
        <v>4</v>
      </c>
      <c r="N8" s="18">
        <v>1</v>
      </c>
      <c r="O8" s="18">
        <v>2</v>
      </c>
      <c r="P8" s="18">
        <v>2</v>
      </c>
      <c r="Q8" s="18">
        <v>2</v>
      </c>
      <c r="R8" s="18">
        <v>2</v>
      </c>
      <c r="S8" s="18">
        <v>2</v>
      </c>
      <c r="T8" s="18">
        <v>2</v>
      </c>
      <c r="U8" s="18">
        <v>2</v>
      </c>
      <c r="V8" s="18">
        <v>2</v>
      </c>
      <c r="W8" s="18">
        <v>1</v>
      </c>
      <c r="X8" s="18">
        <v>1</v>
      </c>
      <c r="Y8" s="18">
        <v>1</v>
      </c>
      <c r="Z8" s="18">
        <v>1</v>
      </c>
      <c r="AA8" s="18">
        <v>1</v>
      </c>
      <c r="AB8" s="18">
        <v>1</v>
      </c>
      <c r="AC8" s="18">
        <v>2</v>
      </c>
      <c r="AD8" s="18">
        <v>1</v>
      </c>
      <c r="AE8" s="18">
        <v>1</v>
      </c>
      <c r="AF8" s="18">
        <v>1</v>
      </c>
      <c r="AG8" s="18">
        <v>1</v>
      </c>
      <c r="AH8" s="18">
        <v>1</v>
      </c>
      <c r="AI8" s="18">
        <v>1</v>
      </c>
      <c r="AJ8" s="18">
        <v>1</v>
      </c>
      <c r="AK8" s="19">
        <f t="shared" si="2"/>
        <v>43</v>
      </c>
      <c r="AL8" s="20">
        <v>0</v>
      </c>
      <c r="AM8" s="20">
        <f t="shared" si="3"/>
        <v>0</v>
      </c>
      <c r="AN8" s="21">
        <v>7</v>
      </c>
      <c r="AO8" s="22">
        <f t="shared" si="1"/>
        <v>36</v>
      </c>
    </row>
    <row r="9" spans="1:41" ht="18.600000000000001" customHeight="1">
      <c r="A9" s="9">
        <v>5</v>
      </c>
      <c r="B9" s="10" t="s">
        <v>88</v>
      </c>
      <c r="C9" s="11" t="s">
        <v>89</v>
      </c>
      <c r="D9" s="10" t="s">
        <v>1</v>
      </c>
      <c r="E9" s="12">
        <v>15354</v>
      </c>
      <c r="F9" s="12">
        <v>5810</v>
      </c>
      <c r="G9" s="13">
        <v>0.25</v>
      </c>
      <c r="H9" s="14">
        <v>0.71619773348964433</v>
      </c>
      <c r="I9" s="12">
        <v>4357.5</v>
      </c>
      <c r="J9" s="16">
        <f t="shared" si="0"/>
        <v>161227.5</v>
      </c>
      <c r="K9" s="17">
        <v>37</v>
      </c>
      <c r="L9" s="18">
        <v>12</v>
      </c>
      <c r="M9" s="18">
        <v>2</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9">
        <f t="shared" si="2"/>
        <v>37</v>
      </c>
      <c r="AL9" s="25">
        <v>4</v>
      </c>
      <c r="AM9" s="25">
        <f>AL9*I9</f>
        <v>17430</v>
      </c>
      <c r="AN9" s="19"/>
      <c r="AO9" s="22">
        <f t="shared" si="1"/>
        <v>33</v>
      </c>
    </row>
    <row r="10" spans="1:41" ht="17.100000000000001" customHeight="1">
      <c r="A10" s="9">
        <v>6</v>
      </c>
      <c r="B10" s="10" t="s">
        <v>90</v>
      </c>
      <c r="C10" s="11" t="s">
        <v>91</v>
      </c>
      <c r="D10" s="10" t="s">
        <v>1</v>
      </c>
      <c r="E10" s="12">
        <v>29853</v>
      </c>
      <c r="F10" s="12">
        <v>9005</v>
      </c>
      <c r="G10" s="13">
        <v>0.2</v>
      </c>
      <c r="H10" s="14">
        <v>0.7586842193414397</v>
      </c>
      <c r="I10" s="12">
        <v>7204</v>
      </c>
      <c r="J10" s="16">
        <f t="shared" si="0"/>
        <v>57632</v>
      </c>
      <c r="K10" s="17">
        <v>8</v>
      </c>
      <c r="L10" s="18">
        <v>3</v>
      </c>
      <c r="M10" s="18">
        <v>2</v>
      </c>
      <c r="N10" s="18">
        <v>1</v>
      </c>
      <c r="O10" s="18"/>
      <c r="P10" s="18"/>
      <c r="Q10" s="18"/>
      <c r="R10" s="18"/>
      <c r="S10" s="18"/>
      <c r="T10" s="18"/>
      <c r="U10" s="18"/>
      <c r="V10" s="18"/>
      <c r="W10" s="18"/>
      <c r="X10" s="18"/>
      <c r="Y10" s="18"/>
      <c r="Z10" s="18"/>
      <c r="AA10" s="18"/>
      <c r="AB10" s="18"/>
      <c r="AC10" s="18">
        <v>1</v>
      </c>
      <c r="AD10" s="18"/>
      <c r="AE10" s="18">
        <v>1</v>
      </c>
      <c r="AF10" s="18"/>
      <c r="AG10" s="18"/>
      <c r="AH10" s="18"/>
      <c r="AI10" s="18"/>
      <c r="AJ10" s="18"/>
      <c r="AK10" s="19">
        <f t="shared" si="2"/>
        <v>8</v>
      </c>
      <c r="AL10" s="25">
        <v>8</v>
      </c>
      <c r="AM10" s="25">
        <f t="shared" si="3"/>
        <v>57632</v>
      </c>
      <c r="AN10" s="19"/>
      <c r="AO10" s="22">
        <f t="shared" si="1"/>
        <v>0</v>
      </c>
    </row>
    <row r="11" spans="1:41" ht="13.5" customHeight="1">
      <c r="A11" s="9">
        <v>7</v>
      </c>
      <c r="B11" s="10" t="s">
        <v>92</v>
      </c>
      <c r="C11" s="11" t="s">
        <v>93</v>
      </c>
      <c r="D11" s="10" t="s">
        <v>1</v>
      </c>
      <c r="E11" s="12">
        <v>12083</v>
      </c>
      <c r="F11" s="12">
        <v>3584</v>
      </c>
      <c r="G11" s="13">
        <v>0.20000000000000004</v>
      </c>
      <c r="H11" s="14">
        <v>0.7627079367706695</v>
      </c>
      <c r="I11" s="12">
        <v>2867.2</v>
      </c>
      <c r="J11" s="16">
        <f t="shared" si="0"/>
        <v>5734.4</v>
      </c>
      <c r="K11" s="17">
        <v>2</v>
      </c>
      <c r="L11" s="18">
        <v>2</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9">
        <f t="shared" si="2"/>
        <v>2</v>
      </c>
      <c r="AL11" s="20">
        <v>0</v>
      </c>
      <c r="AM11" s="20">
        <f t="shared" si="3"/>
        <v>0</v>
      </c>
      <c r="AN11" s="19"/>
      <c r="AO11" s="22">
        <f t="shared" si="1"/>
        <v>2</v>
      </c>
    </row>
    <row r="12" spans="1:41" ht="11.1" customHeight="1">
      <c r="A12" s="9">
        <v>8</v>
      </c>
      <c r="B12" s="10" t="s">
        <v>94</v>
      </c>
      <c r="C12" s="11" t="s">
        <v>95</v>
      </c>
      <c r="D12" s="10" t="s">
        <v>1</v>
      </c>
      <c r="E12" s="12">
        <v>17770</v>
      </c>
      <c r="F12" s="12">
        <v>10043</v>
      </c>
      <c r="G12" s="13">
        <v>0.20000000000000004</v>
      </c>
      <c r="H12" s="14">
        <v>0.54786719189645472</v>
      </c>
      <c r="I12" s="12">
        <v>8034.4</v>
      </c>
      <c r="J12" s="16">
        <f t="shared" si="0"/>
        <v>8034.4</v>
      </c>
      <c r="K12" s="17">
        <v>1</v>
      </c>
      <c r="L12" s="18">
        <v>1</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9">
        <f t="shared" si="2"/>
        <v>1</v>
      </c>
      <c r="AL12" s="20">
        <v>0</v>
      </c>
      <c r="AM12" s="20">
        <f t="shared" si="3"/>
        <v>0</v>
      </c>
      <c r="AN12" s="19"/>
      <c r="AO12" s="22">
        <f t="shared" si="1"/>
        <v>1</v>
      </c>
    </row>
    <row r="13" spans="1:41" ht="15.95" customHeight="1">
      <c r="A13" s="9">
        <v>9</v>
      </c>
      <c r="B13" s="10" t="s">
        <v>96</v>
      </c>
      <c r="C13" s="11" t="s">
        <v>97</v>
      </c>
      <c r="D13" s="10" t="s">
        <v>1</v>
      </c>
      <c r="E13" s="12">
        <v>42648</v>
      </c>
      <c r="F13" s="12">
        <v>21757</v>
      </c>
      <c r="G13" s="13">
        <v>0.20000000000000007</v>
      </c>
      <c r="H13" s="14">
        <v>0.59187769649221544</v>
      </c>
      <c r="I13" s="12">
        <v>17405.599999999999</v>
      </c>
      <c r="J13" s="16">
        <f t="shared" si="0"/>
        <v>69622.399999999994</v>
      </c>
      <c r="K13" s="17">
        <v>4</v>
      </c>
      <c r="L13" s="18">
        <v>2</v>
      </c>
      <c r="M13" s="18"/>
      <c r="N13" s="18"/>
      <c r="O13" s="18">
        <v>1</v>
      </c>
      <c r="P13" s="18"/>
      <c r="Q13" s="18"/>
      <c r="R13" s="18"/>
      <c r="S13" s="18"/>
      <c r="T13" s="18"/>
      <c r="U13" s="18"/>
      <c r="V13" s="18"/>
      <c r="W13" s="18">
        <v>1</v>
      </c>
      <c r="X13" s="18"/>
      <c r="Y13" s="18"/>
      <c r="Z13" s="18"/>
      <c r="AA13" s="18"/>
      <c r="AB13" s="18"/>
      <c r="AC13" s="18"/>
      <c r="AD13" s="18"/>
      <c r="AE13" s="18"/>
      <c r="AF13" s="18"/>
      <c r="AG13" s="18"/>
      <c r="AH13" s="18"/>
      <c r="AI13" s="18"/>
      <c r="AJ13" s="18"/>
      <c r="AK13" s="23">
        <f t="shared" si="2"/>
        <v>4</v>
      </c>
      <c r="AL13" s="25">
        <v>3</v>
      </c>
      <c r="AM13" s="25">
        <f t="shared" si="3"/>
        <v>52216.799999999996</v>
      </c>
      <c r="AN13" s="21">
        <v>1</v>
      </c>
      <c r="AO13" s="24">
        <f t="shared" si="1"/>
        <v>0</v>
      </c>
    </row>
    <row r="14" spans="1:41" ht="15.95" customHeight="1">
      <c r="A14" s="9">
        <v>10</v>
      </c>
      <c r="B14" s="10" t="s">
        <v>6</v>
      </c>
      <c r="C14" s="11" t="s">
        <v>98</v>
      </c>
      <c r="D14" s="10" t="s">
        <v>1</v>
      </c>
      <c r="E14" s="12">
        <v>48335</v>
      </c>
      <c r="F14" s="12">
        <v>25959</v>
      </c>
      <c r="G14" s="13">
        <v>0.25</v>
      </c>
      <c r="H14" s="14">
        <v>0.59720182062687499</v>
      </c>
      <c r="I14" s="12">
        <v>19469.25</v>
      </c>
      <c r="J14" s="16">
        <f t="shared" si="0"/>
        <v>1129216.5</v>
      </c>
      <c r="K14" s="17">
        <v>58</v>
      </c>
      <c r="L14" s="18">
        <v>18</v>
      </c>
      <c r="M14" s="18">
        <v>6</v>
      </c>
      <c r="N14" s="18">
        <v>1</v>
      </c>
      <c r="O14" s="18"/>
      <c r="P14" s="18">
        <v>2</v>
      </c>
      <c r="Q14" s="18">
        <v>2</v>
      </c>
      <c r="R14" s="18">
        <v>2</v>
      </c>
      <c r="S14" s="18">
        <v>2</v>
      </c>
      <c r="T14" s="18">
        <v>2</v>
      </c>
      <c r="U14" s="18">
        <v>4</v>
      </c>
      <c r="V14" s="18">
        <v>2</v>
      </c>
      <c r="W14" s="18"/>
      <c r="X14" s="18">
        <v>1</v>
      </c>
      <c r="Y14" s="18">
        <v>2</v>
      </c>
      <c r="Z14" s="18">
        <v>1</v>
      </c>
      <c r="AA14" s="18">
        <v>2</v>
      </c>
      <c r="AB14" s="18">
        <v>1</v>
      </c>
      <c r="AC14" s="18">
        <v>2</v>
      </c>
      <c r="AD14" s="18">
        <v>1</v>
      </c>
      <c r="AE14" s="18">
        <v>1</v>
      </c>
      <c r="AF14" s="18">
        <v>1</v>
      </c>
      <c r="AG14" s="18">
        <v>1</v>
      </c>
      <c r="AH14" s="18">
        <v>1</v>
      </c>
      <c r="AI14" s="18">
        <v>1</v>
      </c>
      <c r="AJ14" s="18">
        <v>2</v>
      </c>
      <c r="AK14" s="23">
        <f t="shared" si="2"/>
        <v>58</v>
      </c>
      <c r="AL14" s="25">
        <v>51</v>
      </c>
      <c r="AM14" s="25">
        <f t="shared" si="3"/>
        <v>992931.75</v>
      </c>
      <c r="AN14" s="21">
        <v>7</v>
      </c>
      <c r="AO14" s="24">
        <f t="shared" si="1"/>
        <v>0</v>
      </c>
    </row>
    <row r="15" spans="1:41" ht="23.1" customHeight="1">
      <c r="A15" s="9">
        <v>11</v>
      </c>
      <c r="B15" s="10" t="s">
        <v>99</v>
      </c>
      <c r="C15" s="11" t="s">
        <v>100</v>
      </c>
      <c r="D15" s="10" t="s">
        <v>1</v>
      </c>
      <c r="E15" s="12">
        <v>76767</v>
      </c>
      <c r="F15" s="12">
        <v>26918</v>
      </c>
      <c r="G15" s="13">
        <v>0.25</v>
      </c>
      <c r="H15" s="14">
        <v>0.7370159052717965</v>
      </c>
      <c r="I15" s="12">
        <v>20188.5</v>
      </c>
      <c r="J15" s="16">
        <f t="shared" si="0"/>
        <v>1554514.5</v>
      </c>
      <c r="K15" s="17">
        <v>77</v>
      </c>
      <c r="L15" s="18">
        <v>17</v>
      </c>
      <c r="M15" s="18">
        <v>4</v>
      </c>
      <c r="N15" s="18">
        <v>5</v>
      </c>
      <c r="O15" s="18">
        <v>2</v>
      </c>
      <c r="P15" s="18">
        <v>8</v>
      </c>
      <c r="Q15" s="18">
        <v>3</v>
      </c>
      <c r="R15" s="18">
        <v>3</v>
      </c>
      <c r="S15" s="18">
        <v>3</v>
      </c>
      <c r="T15" s="18">
        <v>3</v>
      </c>
      <c r="U15" s="18">
        <v>4</v>
      </c>
      <c r="V15" s="18">
        <v>3</v>
      </c>
      <c r="W15" s="18">
        <v>2</v>
      </c>
      <c r="X15" s="18">
        <v>2</v>
      </c>
      <c r="Y15" s="18">
        <v>1</v>
      </c>
      <c r="Z15" s="18">
        <v>1</v>
      </c>
      <c r="AA15" s="18">
        <v>1</v>
      </c>
      <c r="AB15" s="18">
        <v>2</v>
      </c>
      <c r="AC15" s="18">
        <v>2</v>
      </c>
      <c r="AD15" s="18">
        <v>1</v>
      </c>
      <c r="AE15" s="18">
        <v>2</v>
      </c>
      <c r="AF15" s="18">
        <v>1</v>
      </c>
      <c r="AG15" s="18">
        <v>2</v>
      </c>
      <c r="AH15" s="18">
        <v>2</v>
      </c>
      <c r="AI15" s="18">
        <v>1</v>
      </c>
      <c r="AJ15" s="18">
        <v>2</v>
      </c>
      <c r="AK15" s="19">
        <f t="shared" si="2"/>
        <v>77</v>
      </c>
      <c r="AL15" s="25">
        <v>61</v>
      </c>
      <c r="AM15" s="25">
        <f t="shared" si="3"/>
        <v>1231498.5</v>
      </c>
      <c r="AN15" s="21">
        <v>11</v>
      </c>
      <c r="AO15" s="22">
        <f t="shared" si="1"/>
        <v>5</v>
      </c>
    </row>
    <row r="16" spans="1:41" ht="17.100000000000001" customHeight="1">
      <c r="A16" s="9">
        <v>12</v>
      </c>
      <c r="B16" s="10" t="s">
        <v>101</v>
      </c>
      <c r="C16" s="11" t="s">
        <v>102</v>
      </c>
      <c r="D16" s="10" t="s">
        <v>1</v>
      </c>
      <c r="E16" s="12">
        <v>18480</v>
      </c>
      <c r="F16" s="12">
        <v>3442</v>
      </c>
      <c r="G16" s="13">
        <v>0.20000000000000004</v>
      </c>
      <c r="H16" s="14">
        <v>0.85099567099567097</v>
      </c>
      <c r="I16" s="12">
        <v>2753.6</v>
      </c>
      <c r="J16" s="16">
        <f t="shared" si="0"/>
        <v>96376</v>
      </c>
      <c r="K16" s="17">
        <v>35</v>
      </c>
      <c r="L16" s="18">
        <v>20</v>
      </c>
      <c r="M16" s="18">
        <v>6</v>
      </c>
      <c r="N16" s="18">
        <v>3</v>
      </c>
      <c r="O16" s="18">
        <v>3</v>
      </c>
      <c r="P16" s="18"/>
      <c r="Q16" s="18"/>
      <c r="R16" s="18"/>
      <c r="S16" s="18"/>
      <c r="T16" s="18"/>
      <c r="U16" s="18"/>
      <c r="V16" s="18"/>
      <c r="W16" s="18"/>
      <c r="X16" s="18"/>
      <c r="Y16" s="18"/>
      <c r="Z16" s="18"/>
      <c r="AA16" s="18"/>
      <c r="AB16" s="18"/>
      <c r="AC16" s="18">
        <v>1</v>
      </c>
      <c r="AD16" s="18"/>
      <c r="AE16" s="18"/>
      <c r="AF16" s="18">
        <v>1</v>
      </c>
      <c r="AG16" s="18"/>
      <c r="AH16" s="18"/>
      <c r="AI16" s="18">
        <v>1</v>
      </c>
      <c r="AJ16" s="18"/>
      <c r="AK16" s="23">
        <f t="shared" si="2"/>
        <v>35</v>
      </c>
      <c r="AL16" s="25">
        <v>34</v>
      </c>
      <c r="AM16" s="25">
        <f t="shared" si="3"/>
        <v>93622.399999999994</v>
      </c>
      <c r="AN16" s="21">
        <v>1</v>
      </c>
      <c r="AO16" s="24">
        <f t="shared" si="1"/>
        <v>0</v>
      </c>
    </row>
    <row r="17" spans="1:41" ht="38.1" customHeight="1">
      <c r="A17" s="9">
        <v>13</v>
      </c>
      <c r="B17" s="10" t="s">
        <v>7</v>
      </c>
      <c r="C17" s="11" t="s">
        <v>103</v>
      </c>
      <c r="D17" s="10" t="s">
        <v>104</v>
      </c>
      <c r="E17" s="12">
        <v>113728</v>
      </c>
      <c r="F17" s="12">
        <v>73463</v>
      </c>
      <c r="G17" s="13">
        <v>0.25</v>
      </c>
      <c r="H17" s="14">
        <v>0.51553487267867193</v>
      </c>
      <c r="I17" s="12">
        <v>55097.25</v>
      </c>
      <c r="J17" s="16">
        <f t="shared" si="0"/>
        <v>606069.75</v>
      </c>
      <c r="K17" s="17">
        <v>11</v>
      </c>
      <c r="L17" s="18">
        <v>3</v>
      </c>
      <c r="M17" s="18"/>
      <c r="N17" s="18">
        <v>2</v>
      </c>
      <c r="O17" s="18">
        <v>1</v>
      </c>
      <c r="P17" s="18"/>
      <c r="Q17" s="18"/>
      <c r="R17" s="18"/>
      <c r="S17" s="18"/>
      <c r="T17" s="18"/>
      <c r="U17" s="18"/>
      <c r="V17" s="18"/>
      <c r="W17" s="18"/>
      <c r="X17" s="18"/>
      <c r="Y17" s="18"/>
      <c r="Z17" s="18"/>
      <c r="AA17" s="18"/>
      <c r="AB17" s="18"/>
      <c r="AC17" s="18">
        <v>2</v>
      </c>
      <c r="AD17" s="18"/>
      <c r="AE17" s="18">
        <v>1</v>
      </c>
      <c r="AF17" s="18">
        <v>1</v>
      </c>
      <c r="AG17" s="18">
        <v>1</v>
      </c>
      <c r="AH17" s="18"/>
      <c r="AI17" s="18"/>
      <c r="AJ17" s="18"/>
      <c r="AK17" s="19">
        <f t="shared" si="2"/>
        <v>11</v>
      </c>
      <c r="AL17" s="25">
        <v>11</v>
      </c>
      <c r="AM17" s="25">
        <f t="shared" si="3"/>
        <v>606069.75</v>
      </c>
      <c r="AN17" s="19"/>
      <c r="AO17" s="22">
        <f t="shared" si="1"/>
        <v>0</v>
      </c>
    </row>
    <row r="18" spans="1:41" ht="23.1" customHeight="1">
      <c r="A18" s="9">
        <v>14</v>
      </c>
      <c r="B18" s="10" t="s">
        <v>105</v>
      </c>
      <c r="C18" s="11" t="s">
        <v>106</v>
      </c>
      <c r="D18" s="10" t="s">
        <v>1</v>
      </c>
      <c r="E18" s="12">
        <v>120836</v>
      </c>
      <c r="F18" s="12">
        <v>75410</v>
      </c>
      <c r="G18" s="13">
        <v>0.25</v>
      </c>
      <c r="H18" s="14">
        <v>0.53194826045218313</v>
      </c>
      <c r="I18" s="12">
        <v>56557.5</v>
      </c>
      <c r="J18" s="16">
        <f t="shared" si="0"/>
        <v>395902.5</v>
      </c>
      <c r="K18" s="17">
        <v>7</v>
      </c>
      <c r="L18" s="18"/>
      <c r="M18" s="18"/>
      <c r="N18" s="18"/>
      <c r="O18" s="18"/>
      <c r="P18" s="18"/>
      <c r="Q18" s="18"/>
      <c r="R18" s="18"/>
      <c r="S18" s="18"/>
      <c r="T18" s="18"/>
      <c r="U18" s="18"/>
      <c r="V18" s="18"/>
      <c r="W18" s="18">
        <v>1</v>
      </c>
      <c r="X18" s="18">
        <v>1</v>
      </c>
      <c r="Y18" s="18">
        <v>1</v>
      </c>
      <c r="Z18" s="18">
        <v>1</v>
      </c>
      <c r="AA18" s="18"/>
      <c r="AB18" s="18"/>
      <c r="AC18" s="18"/>
      <c r="AD18" s="18">
        <v>1</v>
      </c>
      <c r="AE18" s="18"/>
      <c r="AF18" s="18"/>
      <c r="AG18" s="18"/>
      <c r="AH18" s="18">
        <v>1</v>
      </c>
      <c r="AI18" s="18">
        <v>1</v>
      </c>
      <c r="AJ18" s="18"/>
      <c r="AK18" s="19">
        <f t="shared" si="2"/>
        <v>7</v>
      </c>
      <c r="AL18" s="20">
        <v>0</v>
      </c>
      <c r="AM18" s="20">
        <f t="shared" si="3"/>
        <v>0</v>
      </c>
      <c r="AN18" s="19"/>
      <c r="AO18" s="22">
        <f t="shared" si="1"/>
        <v>7</v>
      </c>
    </row>
    <row r="19" spans="1:41" ht="31.5" customHeight="1">
      <c r="A19" s="9">
        <v>15</v>
      </c>
      <c r="B19" s="10" t="s">
        <v>107</v>
      </c>
      <c r="C19" s="11" t="s">
        <v>108</v>
      </c>
      <c r="D19" s="10" t="s">
        <v>1</v>
      </c>
      <c r="E19" s="12">
        <v>120836</v>
      </c>
      <c r="F19" s="12">
        <v>116818</v>
      </c>
      <c r="G19" s="13">
        <v>0.25</v>
      </c>
      <c r="H19" s="14">
        <v>0.27493875997219375</v>
      </c>
      <c r="I19" s="12">
        <v>87613.5</v>
      </c>
      <c r="J19" s="16">
        <f t="shared" si="0"/>
        <v>1401816</v>
      </c>
      <c r="K19" s="17">
        <v>16</v>
      </c>
      <c r="L19" s="18">
        <v>3</v>
      </c>
      <c r="M19" s="18">
        <v>1</v>
      </c>
      <c r="N19" s="18"/>
      <c r="O19" s="18"/>
      <c r="P19" s="18">
        <v>1</v>
      </c>
      <c r="Q19" s="18">
        <v>1</v>
      </c>
      <c r="R19" s="18">
        <v>1</v>
      </c>
      <c r="S19" s="18">
        <v>2</v>
      </c>
      <c r="T19" s="18">
        <v>1</v>
      </c>
      <c r="U19" s="18">
        <v>2</v>
      </c>
      <c r="V19" s="18">
        <v>1</v>
      </c>
      <c r="W19" s="18">
        <v>1</v>
      </c>
      <c r="X19" s="18"/>
      <c r="Y19" s="18"/>
      <c r="Z19" s="18"/>
      <c r="AA19" s="18">
        <v>1</v>
      </c>
      <c r="AB19" s="18">
        <v>1</v>
      </c>
      <c r="AC19" s="18"/>
      <c r="AD19" s="18"/>
      <c r="AE19" s="18"/>
      <c r="AF19" s="18"/>
      <c r="AG19" s="18"/>
      <c r="AH19" s="18"/>
      <c r="AI19" s="18"/>
      <c r="AJ19" s="18"/>
      <c r="AK19" s="19">
        <f t="shared" si="2"/>
        <v>16</v>
      </c>
      <c r="AL19" s="25">
        <v>3</v>
      </c>
      <c r="AM19" s="25">
        <f t="shared" si="3"/>
        <v>262840.5</v>
      </c>
      <c r="AN19" s="21">
        <v>4</v>
      </c>
      <c r="AO19" s="22">
        <f>AK19-AL19-AN19</f>
        <v>9</v>
      </c>
    </row>
    <row r="20" spans="1:41" ht="23.1" customHeight="1">
      <c r="A20" s="9">
        <v>16</v>
      </c>
      <c r="B20" s="10" t="s">
        <v>109</v>
      </c>
      <c r="C20" s="11" t="s">
        <v>110</v>
      </c>
      <c r="D20" s="10" t="s">
        <v>1</v>
      </c>
      <c r="E20" s="12">
        <v>113728</v>
      </c>
      <c r="F20" s="12">
        <v>66522</v>
      </c>
      <c r="G20" s="13">
        <v>0.25</v>
      </c>
      <c r="H20" s="14">
        <v>0.56130856077658975</v>
      </c>
      <c r="I20" s="12">
        <v>49891.5</v>
      </c>
      <c r="J20" s="16">
        <f t="shared" si="0"/>
        <v>249457.5</v>
      </c>
      <c r="K20" s="17">
        <v>5</v>
      </c>
      <c r="L20" s="18">
        <v>1</v>
      </c>
      <c r="M20" s="18">
        <v>1</v>
      </c>
      <c r="N20" s="18"/>
      <c r="O20" s="18"/>
      <c r="P20" s="18"/>
      <c r="Q20" s="18"/>
      <c r="R20" s="18"/>
      <c r="S20" s="18"/>
      <c r="T20" s="18"/>
      <c r="U20" s="18"/>
      <c r="V20" s="18"/>
      <c r="W20" s="18"/>
      <c r="X20" s="18"/>
      <c r="Y20" s="18"/>
      <c r="Z20" s="18"/>
      <c r="AA20" s="18"/>
      <c r="AB20" s="18"/>
      <c r="AC20" s="18">
        <v>1</v>
      </c>
      <c r="AD20" s="18">
        <v>1</v>
      </c>
      <c r="AE20" s="18"/>
      <c r="AF20" s="18"/>
      <c r="AG20" s="18"/>
      <c r="AH20" s="18"/>
      <c r="AI20" s="18"/>
      <c r="AJ20" s="18">
        <v>1</v>
      </c>
      <c r="AK20" s="19">
        <f t="shared" si="2"/>
        <v>5</v>
      </c>
      <c r="AL20" s="25">
        <v>5</v>
      </c>
      <c r="AM20" s="25">
        <f t="shared" si="3"/>
        <v>249457.5</v>
      </c>
      <c r="AN20" s="19"/>
      <c r="AO20" s="22">
        <f t="shared" ref="AO20:AO27" si="4">AK20-AL20-AN20</f>
        <v>0</v>
      </c>
    </row>
    <row r="21" spans="1:41" ht="27.6" customHeight="1">
      <c r="A21" s="9">
        <v>17</v>
      </c>
      <c r="B21" s="10" t="s">
        <v>8</v>
      </c>
      <c r="C21" s="11" t="s">
        <v>111</v>
      </c>
      <c r="D21" s="10" t="s">
        <v>1</v>
      </c>
      <c r="E21" s="26">
        <v>106620</v>
      </c>
      <c r="F21" s="26">
        <v>87259</v>
      </c>
      <c r="G21" s="27">
        <v>0.25</v>
      </c>
      <c r="H21" s="28">
        <v>0.38619161508159816</v>
      </c>
      <c r="I21" s="26">
        <v>65444.25</v>
      </c>
      <c r="J21" s="16">
        <f t="shared" si="0"/>
        <v>392665.5</v>
      </c>
      <c r="K21" s="17">
        <v>6</v>
      </c>
      <c r="L21" s="18">
        <v>6</v>
      </c>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9">
        <f t="shared" si="2"/>
        <v>6</v>
      </c>
      <c r="AL21" s="19">
        <v>0</v>
      </c>
      <c r="AM21" s="19">
        <f t="shared" si="3"/>
        <v>0</v>
      </c>
      <c r="AN21" s="19"/>
      <c r="AO21" s="22">
        <f t="shared" si="4"/>
        <v>6</v>
      </c>
    </row>
    <row r="22" spans="1:41" ht="30.95" customHeight="1">
      <c r="A22" s="9">
        <v>18</v>
      </c>
      <c r="B22" s="10" t="s">
        <v>112</v>
      </c>
      <c r="C22" s="11" t="s">
        <v>113</v>
      </c>
      <c r="D22" s="10" t="s">
        <v>1</v>
      </c>
      <c r="E22" s="12">
        <v>85296</v>
      </c>
      <c r="F22" s="12">
        <v>39849</v>
      </c>
      <c r="G22" s="13">
        <v>0.19999999999999998</v>
      </c>
      <c r="H22" s="14">
        <v>0.62625211029825545</v>
      </c>
      <c r="I22" s="12">
        <v>31879.200000000001</v>
      </c>
      <c r="J22" s="16">
        <f t="shared" si="0"/>
        <v>63758.400000000001</v>
      </c>
      <c r="K22" s="17">
        <v>2</v>
      </c>
      <c r="L22" s="18">
        <v>1</v>
      </c>
      <c r="M22" s="18"/>
      <c r="N22" s="18">
        <v>1</v>
      </c>
      <c r="O22" s="18"/>
      <c r="P22" s="18"/>
      <c r="Q22" s="18"/>
      <c r="R22" s="18"/>
      <c r="S22" s="18"/>
      <c r="T22" s="18"/>
      <c r="U22" s="18"/>
      <c r="V22" s="18"/>
      <c r="W22" s="18"/>
      <c r="X22" s="18"/>
      <c r="Y22" s="18"/>
      <c r="Z22" s="18"/>
      <c r="AA22" s="18"/>
      <c r="AB22" s="18"/>
      <c r="AC22" s="18"/>
      <c r="AD22" s="18"/>
      <c r="AE22" s="18"/>
      <c r="AF22" s="18"/>
      <c r="AG22" s="18"/>
      <c r="AH22" s="18"/>
      <c r="AI22" s="18"/>
      <c r="AJ22" s="18"/>
      <c r="AK22" s="19">
        <f t="shared" si="2"/>
        <v>2</v>
      </c>
      <c r="AL22" s="25">
        <v>2</v>
      </c>
      <c r="AM22" s="25">
        <f t="shared" si="3"/>
        <v>63758.400000000001</v>
      </c>
      <c r="AN22" s="19"/>
      <c r="AO22" s="22">
        <f t="shared" si="4"/>
        <v>0</v>
      </c>
    </row>
    <row r="23" spans="1:41" ht="41.45" customHeight="1">
      <c r="A23" s="9">
        <v>19</v>
      </c>
      <c r="B23" s="10" t="s">
        <v>114</v>
      </c>
      <c r="C23" s="11" t="s">
        <v>115</v>
      </c>
      <c r="D23" s="10" t="s">
        <v>1</v>
      </c>
      <c r="E23" s="12">
        <v>116571</v>
      </c>
      <c r="F23" s="12">
        <v>45164</v>
      </c>
      <c r="G23" s="13">
        <v>0.20000000000000007</v>
      </c>
      <c r="H23" s="14">
        <v>0.69004984086951304</v>
      </c>
      <c r="I23" s="12">
        <v>36131.199999999997</v>
      </c>
      <c r="J23" s="16">
        <f t="shared" si="0"/>
        <v>108393.59999999999</v>
      </c>
      <c r="K23" s="17">
        <v>3</v>
      </c>
      <c r="L23" s="18">
        <v>1</v>
      </c>
      <c r="M23" s="18">
        <v>1</v>
      </c>
      <c r="N23" s="18">
        <v>1</v>
      </c>
      <c r="O23" s="18"/>
      <c r="P23" s="18"/>
      <c r="Q23" s="18"/>
      <c r="R23" s="18"/>
      <c r="S23" s="18"/>
      <c r="T23" s="18"/>
      <c r="U23" s="18"/>
      <c r="V23" s="18"/>
      <c r="W23" s="18"/>
      <c r="X23" s="18"/>
      <c r="Y23" s="18"/>
      <c r="Z23" s="18"/>
      <c r="AA23" s="18"/>
      <c r="AB23" s="18"/>
      <c r="AC23" s="18"/>
      <c r="AD23" s="18"/>
      <c r="AE23" s="18"/>
      <c r="AF23" s="18"/>
      <c r="AG23" s="18"/>
      <c r="AH23" s="18"/>
      <c r="AI23" s="18"/>
      <c r="AJ23" s="18"/>
      <c r="AK23" s="19">
        <f t="shared" si="2"/>
        <v>3</v>
      </c>
      <c r="AL23" s="25">
        <v>3</v>
      </c>
      <c r="AM23" s="25">
        <f t="shared" si="3"/>
        <v>108393.59999999999</v>
      </c>
      <c r="AN23" s="19"/>
      <c r="AO23" s="22">
        <f t="shared" si="4"/>
        <v>0</v>
      </c>
    </row>
    <row r="24" spans="1:41" ht="24.6" customHeight="1">
      <c r="A24" s="9">
        <v>20</v>
      </c>
      <c r="B24" s="10" t="s">
        <v>116</v>
      </c>
      <c r="C24" s="11" t="s">
        <v>117</v>
      </c>
      <c r="D24" s="10" t="s">
        <v>1</v>
      </c>
      <c r="E24" s="12">
        <v>5627</v>
      </c>
      <c r="F24" s="12">
        <v>670</v>
      </c>
      <c r="G24" s="13">
        <v>0.2</v>
      </c>
      <c r="H24" s="14">
        <v>0.90474497956282207</v>
      </c>
      <c r="I24" s="12">
        <v>536</v>
      </c>
      <c r="J24" s="16">
        <f t="shared" si="0"/>
        <v>5360</v>
      </c>
      <c r="K24" s="17">
        <v>10</v>
      </c>
      <c r="L24" s="18">
        <v>10</v>
      </c>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9">
        <f t="shared" si="2"/>
        <v>10</v>
      </c>
      <c r="AL24" s="25">
        <v>10</v>
      </c>
      <c r="AM24" s="25">
        <f t="shared" si="3"/>
        <v>5360</v>
      </c>
      <c r="AN24" s="19"/>
      <c r="AO24" s="22">
        <f t="shared" si="4"/>
        <v>0</v>
      </c>
    </row>
    <row r="25" spans="1:41" ht="20.45" customHeight="1">
      <c r="A25" s="9">
        <v>21</v>
      </c>
      <c r="B25" s="10" t="s">
        <v>118</v>
      </c>
      <c r="C25" s="11" t="s">
        <v>119</v>
      </c>
      <c r="D25" s="10" t="s">
        <v>1</v>
      </c>
      <c r="E25" s="12">
        <v>5831</v>
      </c>
      <c r="F25" s="12">
        <v>1204</v>
      </c>
      <c r="G25" s="13">
        <v>0.19999999999999996</v>
      </c>
      <c r="H25" s="14">
        <v>0.83481392557022804</v>
      </c>
      <c r="I25" s="12">
        <v>963.2</v>
      </c>
      <c r="J25" s="16">
        <f t="shared" si="0"/>
        <v>32748.800000000003</v>
      </c>
      <c r="K25" s="17">
        <v>34</v>
      </c>
      <c r="L25" s="18">
        <v>10</v>
      </c>
      <c r="M25" s="18">
        <v>1</v>
      </c>
      <c r="N25" s="18">
        <v>1</v>
      </c>
      <c r="O25" s="18">
        <v>1</v>
      </c>
      <c r="P25" s="18">
        <v>1</v>
      </c>
      <c r="Q25" s="18">
        <v>1</v>
      </c>
      <c r="R25" s="18">
        <v>1</v>
      </c>
      <c r="S25" s="18">
        <v>1</v>
      </c>
      <c r="T25" s="18">
        <v>1</v>
      </c>
      <c r="U25" s="18">
        <v>1</v>
      </c>
      <c r="V25" s="18">
        <v>1</v>
      </c>
      <c r="W25" s="18">
        <v>1</v>
      </c>
      <c r="X25" s="18">
        <v>1</v>
      </c>
      <c r="Y25" s="18">
        <v>1</v>
      </c>
      <c r="Z25" s="18">
        <v>1</v>
      </c>
      <c r="AA25" s="18">
        <v>1</v>
      </c>
      <c r="AB25" s="18">
        <v>1</v>
      </c>
      <c r="AC25" s="18">
        <v>1</v>
      </c>
      <c r="AD25" s="18">
        <v>1</v>
      </c>
      <c r="AE25" s="18">
        <v>1</v>
      </c>
      <c r="AF25" s="18">
        <v>1</v>
      </c>
      <c r="AG25" s="18">
        <v>1</v>
      </c>
      <c r="AH25" s="18">
        <v>1</v>
      </c>
      <c r="AI25" s="18">
        <v>1</v>
      </c>
      <c r="AJ25" s="18">
        <v>1</v>
      </c>
      <c r="AK25" s="19">
        <f t="shared" si="2"/>
        <v>34</v>
      </c>
      <c r="AL25" s="25">
        <v>15</v>
      </c>
      <c r="AM25" s="25">
        <f t="shared" si="3"/>
        <v>14448</v>
      </c>
      <c r="AN25" s="19"/>
      <c r="AO25" s="22">
        <f t="shared" si="4"/>
        <v>19</v>
      </c>
    </row>
    <row r="26" spans="1:41" ht="18.95" customHeight="1">
      <c r="A26" s="9">
        <v>22</v>
      </c>
      <c r="B26" s="10" t="s">
        <v>120</v>
      </c>
      <c r="C26" s="11" t="s">
        <v>121</v>
      </c>
      <c r="D26" s="10" t="s">
        <v>1</v>
      </c>
      <c r="E26" s="12">
        <v>11373</v>
      </c>
      <c r="F26" s="12">
        <v>4629</v>
      </c>
      <c r="G26" s="13">
        <v>0.20000000000000004</v>
      </c>
      <c r="H26" s="14">
        <v>0.67438670535478762</v>
      </c>
      <c r="I26" s="12">
        <v>3703.2</v>
      </c>
      <c r="J26" s="16">
        <f t="shared" si="0"/>
        <v>11109.599999999999</v>
      </c>
      <c r="K26" s="17">
        <v>3</v>
      </c>
      <c r="L26" s="18">
        <v>3</v>
      </c>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9">
        <f t="shared" si="2"/>
        <v>3</v>
      </c>
      <c r="AL26" s="19">
        <v>0</v>
      </c>
      <c r="AM26" s="19">
        <f t="shared" si="3"/>
        <v>0</v>
      </c>
      <c r="AN26" s="19"/>
      <c r="AO26" s="22">
        <f t="shared" si="4"/>
        <v>3</v>
      </c>
    </row>
    <row r="27" spans="1:41" ht="19.5" customHeight="1">
      <c r="A27" s="9">
        <v>23</v>
      </c>
      <c r="B27" s="10" t="s">
        <v>122</v>
      </c>
      <c r="C27" s="29" t="s">
        <v>123</v>
      </c>
      <c r="D27" s="10" t="s">
        <v>1</v>
      </c>
      <c r="E27" s="12">
        <v>98091</v>
      </c>
      <c r="F27" s="12">
        <v>26759</v>
      </c>
      <c r="G27" s="13">
        <v>0.25</v>
      </c>
      <c r="H27" s="14">
        <v>0.7954017188121234</v>
      </c>
      <c r="I27" s="12">
        <v>20069.25</v>
      </c>
      <c r="J27" s="16">
        <f t="shared" si="0"/>
        <v>240831</v>
      </c>
      <c r="K27" s="17">
        <v>12</v>
      </c>
      <c r="L27" s="30">
        <v>6</v>
      </c>
      <c r="M27" s="30">
        <v>3</v>
      </c>
      <c r="N27" s="30">
        <v>1</v>
      </c>
      <c r="O27" s="30">
        <v>0</v>
      </c>
      <c r="P27" s="30">
        <v>1</v>
      </c>
      <c r="Q27" s="30">
        <v>0</v>
      </c>
      <c r="R27" s="30">
        <v>0</v>
      </c>
      <c r="S27" s="30">
        <v>0</v>
      </c>
      <c r="T27" s="30">
        <v>0</v>
      </c>
      <c r="U27" s="30">
        <v>0</v>
      </c>
      <c r="V27" s="30">
        <v>0</v>
      </c>
      <c r="W27" s="30">
        <v>0</v>
      </c>
      <c r="X27" s="30">
        <v>0</v>
      </c>
      <c r="Y27" s="30">
        <v>0</v>
      </c>
      <c r="Z27" s="30">
        <v>1</v>
      </c>
      <c r="AA27" s="30">
        <v>0</v>
      </c>
      <c r="AB27" s="30">
        <v>0</v>
      </c>
      <c r="AC27" s="30">
        <v>0</v>
      </c>
      <c r="AD27" s="30">
        <v>0</v>
      </c>
      <c r="AE27" s="30">
        <v>0</v>
      </c>
      <c r="AF27" s="30">
        <v>0</v>
      </c>
      <c r="AG27" s="30">
        <v>0</v>
      </c>
      <c r="AH27" s="30">
        <v>0</v>
      </c>
      <c r="AI27" s="30">
        <v>0</v>
      </c>
      <c r="AJ27" s="30">
        <v>0</v>
      </c>
      <c r="AK27" s="19">
        <f t="shared" si="2"/>
        <v>12</v>
      </c>
      <c r="AL27" s="25">
        <v>6</v>
      </c>
      <c r="AM27" s="25">
        <f t="shared" si="3"/>
        <v>120415.5</v>
      </c>
      <c r="AN27" s="19">
        <v>0</v>
      </c>
      <c r="AO27" s="22">
        <f t="shared" si="4"/>
        <v>6</v>
      </c>
    </row>
    <row r="28" spans="1:41" ht="33" customHeight="1">
      <c r="K28" s="4"/>
      <c r="AL28" s="31">
        <f>SUM(AL5:AL27)</f>
        <v>274</v>
      </c>
      <c r="AM28" s="32">
        <f>SUM(AM5:AM27)</f>
        <v>4452797.6999999993</v>
      </c>
      <c r="AN28" s="33">
        <f>SUM(AN5:AN27)</f>
        <v>59</v>
      </c>
    </row>
    <row r="29" spans="1:41" ht="38.450000000000003" customHeight="1">
      <c r="C29" s="34"/>
      <c r="D29" s="10" t="s">
        <v>127</v>
      </c>
    </row>
    <row r="30" spans="1:41" ht="33" customHeight="1">
      <c r="C30" s="36"/>
      <c r="D30" s="10" t="s">
        <v>128</v>
      </c>
      <c r="AL30" s="31"/>
    </row>
    <row r="31" spans="1:41">
      <c r="C31" s="37"/>
      <c r="D31" s="10" t="s">
        <v>129</v>
      </c>
    </row>
    <row r="32" spans="1:41">
      <c r="C32" s="38"/>
      <c r="D32" s="10" t="s">
        <v>130</v>
      </c>
    </row>
  </sheetData>
  <autoFilter ref="A4:AO32"/>
  <mergeCells count="6">
    <mergeCell ref="AO1:AO4"/>
    <mergeCell ref="A1:K2"/>
    <mergeCell ref="AK1:AK4"/>
    <mergeCell ref="AL1:AL4"/>
    <mergeCell ref="AM1:AM4"/>
    <mergeCell ref="AN1:AN4"/>
  </mergeCells>
  <conditionalFormatting sqref="E5:G27">
    <cfRule type="expression" dxfId="52" priority="3">
      <formula>ISERROR($K5)</formula>
    </cfRule>
  </conditionalFormatting>
  <conditionalFormatting sqref="I5:I27">
    <cfRule type="expression" dxfId="51" priority="2">
      <formula>ISERROR($K5)</formula>
    </cfRule>
  </conditionalFormatting>
  <conditionalFormatting sqref="J5:J27">
    <cfRule type="expression" dxfId="50" priority="1">
      <formula>ISERROR(J5)</formula>
    </cfRule>
  </conditionalFormatting>
  <conditionalFormatting sqref="L27:AJ27">
    <cfRule type="expression" dxfId="49" priority="4">
      <formula>ISERROR($O27)</formula>
    </cfRule>
  </conditionalFormatting>
  <dataValidations count="3">
    <dataValidation operator="lessThan" allowBlank="1" showErrorMessage="1" errorTitle="Error" error="El valor es menor que el minimo permitido" sqref="I5:I27"/>
    <dataValidation type="decimal" allowBlank="1" showInputMessage="1" showErrorMessage="1" errorTitle="Descuento no valido" error="Solo la mitad de los items pueden tener un descuento máximo del 25%._x000a__x000a_La otra mitad puede tener un descuento máximo del 20%." sqref="G5:G27">
      <formula1>-1</formula1>
      <formula2>$I$11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H5:H27">
      <formula1>G5&lt;$I$11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B26" sqref="B26"/>
    </sheetView>
  </sheetViews>
  <sheetFormatPr baseColWidth="10" defaultRowHeight="15"/>
  <cols>
    <col min="1" max="1" width="23.7109375" customWidth="1"/>
    <col min="2" max="2" width="54.7109375" customWidth="1"/>
    <col min="3" max="3" width="17" customWidth="1"/>
    <col min="4" max="4" width="13.85546875" customWidth="1"/>
    <col min="5" max="5" width="14" customWidth="1"/>
    <col min="6" max="7" width="12" customWidth="1"/>
    <col min="8" max="8" width="13.85546875" customWidth="1"/>
  </cols>
  <sheetData>
    <row r="1" spans="1:8">
      <c r="A1" s="205" t="s">
        <v>1428</v>
      </c>
      <c r="B1" s="205" t="s">
        <v>1429</v>
      </c>
      <c r="C1" s="206" t="s">
        <v>1430</v>
      </c>
      <c r="D1" s="206" t="s">
        <v>1431</v>
      </c>
      <c r="E1" s="206" t="s">
        <v>1432</v>
      </c>
      <c r="F1" s="206" t="s">
        <v>1521</v>
      </c>
      <c r="G1" s="206" t="s">
        <v>11</v>
      </c>
      <c r="H1" s="206" t="s">
        <v>12</v>
      </c>
    </row>
    <row r="2" spans="1:8">
      <c r="A2" s="207" t="s">
        <v>1433</v>
      </c>
      <c r="B2" s="207" t="s">
        <v>1434</v>
      </c>
      <c r="C2" s="208">
        <v>28622928</v>
      </c>
      <c r="D2" s="208"/>
      <c r="E2" s="208">
        <f>+'INSUMOS A CORREGIR'!AX78+'INSUMOS A CORREGIR'!AX79</f>
        <v>4372705</v>
      </c>
      <c r="F2" s="71">
        <f>+E2*10%</f>
        <v>437270.5</v>
      </c>
      <c r="G2" s="71">
        <f>+F2*19%</f>
        <v>83081.395000000004</v>
      </c>
      <c r="H2" s="96">
        <f>+E2+F2+G2</f>
        <v>4893056.8949999996</v>
      </c>
    </row>
    <row r="3" spans="1:8">
      <c r="A3" s="209" t="s">
        <v>1435</v>
      </c>
      <c r="B3" s="209" t="s">
        <v>1436</v>
      </c>
      <c r="C3" s="79">
        <v>97979593</v>
      </c>
      <c r="D3" s="79"/>
      <c r="E3" s="79">
        <f>+'INSUMOS A CORREGIR'!AX76</f>
        <v>11870820</v>
      </c>
      <c r="F3" s="71">
        <f t="shared" ref="F3:F44" si="0">+E3*10%</f>
        <v>1187082</v>
      </c>
      <c r="G3" s="71">
        <f t="shared" ref="G3:G45" si="1">+F3*19%</f>
        <v>225545.58000000002</v>
      </c>
      <c r="H3" s="96">
        <f t="shared" ref="H3:H45" si="2">+E3+F3+G3</f>
        <v>13283447.58</v>
      </c>
    </row>
    <row r="4" spans="1:8">
      <c r="A4" s="207" t="s">
        <v>1437</v>
      </c>
      <c r="B4" s="207" t="s">
        <v>1438</v>
      </c>
      <c r="C4" s="208">
        <v>171533</v>
      </c>
      <c r="D4" s="208"/>
      <c r="E4" s="208">
        <f>+'INSUMOS A CORREGIR'!AX77</f>
        <v>63432.800000000003</v>
      </c>
      <c r="F4" s="71">
        <f t="shared" si="0"/>
        <v>6343.2800000000007</v>
      </c>
      <c r="G4" s="71">
        <f t="shared" si="1"/>
        <v>1205.2232000000001</v>
      </c>
      <c r="H4" s="96">
        <f t="shared" si="2"/>
        <v>70981.303199999995</v>
      </c>
    </row>
    <row r="5" spans="1:8">
      <c r="A5" s="209" t="s">
        <v>1439</v>
      </c>
      <c r="B5" s="209" t="s">
        <v>1440</v>
      </c>
      <c r="C5" s="79">
        <v>843056</v>
      </c>
      <c r="D5" s="79"/>
      <c r="E5" s="79">
        <f>+'INSUMOS A CORREGIR'!AX81</f>
        <v>16812</v>
      </c>
      <c r="F5" s="71">
        <f t="shared" si="0"/>
        <v>1681.2</v>
      </c>
      <c r="G5" s="71">
        <f t="shared" si="1"/>
        <v>319.428</v>
      </c>
      <c r="H5" s="96">
        <f t="shared" si="2"/>
        <v>18812.628000000001</v>
      </c>
    </row>
    <row r="6" spans="1:8">
      <c r="A6" s="207" t="s">
        <v>1441</v>
      </c>
      <c r="B6" s="207" t="s">
        <v>1442</v>
      </c>
      <c r="C6" s="208">
        <v>19448045</v>
      </c>
      <c r="D6" s="208"/>
      <c r="E6" s="208">
        <f>+'INSUMOS A CORREGIR'!AX80+'INSUMOS A CORREGIR'!AX82</f>
        <v>2573570.5</v>
      </c>
      <c r="F6" s="71">
        <f t="shared" si="0"/>
        <v>257357.05000000002</v>
      </c>
      <c r="G6" s="71">
        <f t="shared" si="1"/>
        <v>48897.839500000002</v>
      </c>
      <c r="H6" s="96">
        <f t="shared" si="2"/>
        <v>2879825.3894999996</v>
      </c>
    </row>
    <row r="7" spans="1:8">
      <c r="A7" s="209" t="s">
        <v>1443</v>
      </c>
      <c r="B7" s="209" t="s">
        <v>1444</v>
      </c>
      <c r="C7" s="79">
        <v>11390680</v>
      </c>
      <c r="D7" s="79"/>
      <c r="E7" s="79">
        <f>+'INSUMOS A CORREGIR'!AX83</f>
        <v>1279908</v>
      </c>
      <c r="F7" s="71">
        <f t="shared" si="0"/>
        <v>127990.8</v>
      </c>
      <c r="G7" s="71">
        <f t="shared" si="1"/>
        <v>24318.252</v>
      </c>
      <c r="H7" s="96">
        <f t="shared" si="2"/>
        <v>1432217.0520000001</v>
      </c>
    </row>
    <row r="8" spans="1:8">
      <c r="A8" s="207" t="s">
        <v>1445</v>
      </c>
      <c r="B8" s="207" t="s">
        <v>1446</v>
      </c>
      <c r="C8" s="208">
        <v>1410059</v>
      </c>
      <c r="D8" s="208"/>
      <c r="E8" s="208">
        <f>+'INSUMOS A CORREGIR'!AX73+'INSUMOS A CORREGIR'!AX74</f>
        <v>382198</v>
      </c>
      <c r="F8" s="71">
        <f t="shared" si="0"/>
        <v>38219.800000000003</v>
      </c>
      <c r="G8" s="71">
        <f t="shared" si="1"/>
        <v>7261.7620000000006</v>
      </c>
      <c r="H8" s="96">
        <f t="shared" si="2"/>
        <v>427679.56199999998</v>
      </c>
    </row>
    <row r="9" spans="1:8">
      <c r="A9" s="209" t="s">
        <v>1447</v>
      </c>
      <c r="B9" s="209" t="s">
        <v>1448</v>
      </c>
      <c r="C9" s="79">
        <v>1790740</v>
      </c>
      <c r="D9" s="79"/>
      <c r="E9" s="79">
        <f>+'INSUMOS A CORREGIR'!AX30+'INSUMOS A CORREGIR'!AX31</f>
        <v>167415.79999999999</v>
      </c>
      <c r="F9" s="71">
        <f t="shared" si="0"/>
        <v>16741.579999999998</v>
      </c>
      <c r="G9" s="71">
        <f t="shared" si="1"/>
        <v>3180.9001999999996</v>
      </c>
      <c r="H9" s="96">
        <f t="shared" si="2"/>
        <v>187338.28019999998</v>
      </c>
    </row>
    <row r="10" spans="1:8">
      <c r="A10" s="207" t="s">
        <v>1449</v>
      </c>
      <c r="B10" s="207" t="s">
        <v>1450</v>
      </c>
      <c r="C10" s="208">
        <v>5965369</v>
      </c>
      <c r="D10" s="208"/>
      <c r="E10" s="208">
        <f>+'INSUMOS A CORREGIR'!AX44+'INSUMOS A CORREGIR'!AX45+'INSUMOS A CORREGIR'!AX46</f>
        <v>961478.75</v>
      </c>
      <c r="F10" s="71">
        <f t="shared" si="0"/>
        <v>96147.875</v>
      </c>
      <c r="G10" s="71">
        <f t="shared" si="1"/>
        <v>18268.096249999999</v>
      </c>
      <c r="H10" s="96">
        <f t="shared" si="2"/>
        <v>1075894.7212499999</v>
      </c>
    </row>
    <row r="11" spans="1:8">
      <c r="A11" s="209" t="s">
        <v>1451</v>
      </c>
      <c r="B11" s="209" t="s">
        <v>1452</v>
      </c>
      <c r="C11" s="79">
        <v>24335594</v>
      </c>
      <c r="D11" s="79"/>
      <c r="E11" s="79">
        <f>+'INSUMOS A CORREGIR'!AX23+'INSUMOS A CORREGIR'!AX24+'INSUMOS A CORREGIR'!AX25+'INSUMOS A CORREGIR'!AX26+'INSUMOS A CORREGIR'!AX27+'INSUMOS A CORREGIR'!AX28+'INSUMOS A CORREGIR'!AX29+'INSUMOS A CORREGIR'!AX49+'INSUMOS A CORREGIR'!AX50+'INSUMOS A CORREGIR'!AX51+'INSUMOS A CORREGIR'!AX52</f>
        <v>4612983.3000000007</v>
      </c>
      <c r="F11" s="71">
        <f t="shared" si="0"/>
        <v>461298.33000000007</v>
      </c>
      <c r="G11" s="71">
        <f t="shared" si="1"/>
        <v>87646.682700000019</v>
      </c>
      <c r="H11" s="96">
        <f t="shared" si="2"/>
        <v>5161928.3127000006</v>
      </c>
    </row>
    <row r="12" spans="1:8">
      <c r="A12" s="207" t="s">
        <v>1453</v>
      </c>
      <c r="B12" s="207" t="s">
        <v>1454</v>
      </c>
      <c r="C12" s="208">
        <v>166686</v>
      </c>
      <c r="D12" s="208"/>
      <c r="E12" s="208">
        <f>+'INSUMOS A CORREGIR'!AX61+'INSUMOS A CORREGIR'!AX62</f>
        <v>55606.8</v>
      </c>
      <c r="F12" s="71">
        <f t="shared" si="0"/>
        <v>5560.68</v>
      </c>
      <c r="G12" s="71">
        <f t="shared" si="1"/>
        <v>1056.5292000000002</v>
      </c>
      <c r="H12" s="96">
        <f t="shared" si="2"/>
        <v>62224.0092</v>
      </c>
    </row>
    <row r="13" spans="1:8">
      <c r="A13" s="209" t="s">
        <v>1455</v>
      </c>
      <c r="B13" s="209" t="s">
        <v>1456</v>
      </c>
      <c r="C13" s="79">
        <v>1437439</v>
      </c>
      <c r="D13" s="79"/>
      <c r="E13" s="79">
        <f>+'INSUMOS A CORREGIR'!AX71</f>
        <v>239583</v>
      </c>
      <c r="F13" s="71">
        <f t="shared" si="0"/>
        <v>23958.300000000003</v>
      </c>
      <c r="G13" s="71">
        <f t="shared" si="1"/>
        <v>4552.0770000000002</v>
      </c>
      <c r="H13" s="96">
        <f t="shared" si="2"/>
        <v>268093.37699999998</v>
      </c>
    </row>
    <row r="14" spans="1:8">
      <c r="A14" s="207" t="s">
        <v>1457</v>
      </c>
      <c r="B14" s="207" t="s">
        <v>1458</v>
      </c>
      <c r="C14" s="208">
        <v>61332435</v>
      </c>
      <c r="D14" s="208"/>
      <c r="E14" s="208">
        <f>+'INSUMOS A CORREGIR'!AX64</f>
        <v>6874560</v>
      </c>
      <c r="F14" s="71">
        <f t="shared" si="0"/>
        <v>687456</v>
      </c>
      <c r="G14" s="71">
        <f t="shared" si="1"/>
        <v>130616.64</v>
      </c>
      <c r="H14" s="96">
        <f t="shared" si="2"/>
        <v>7692632.6399999997</v>
      </c>
    </row>
    <row r="15" spans="1:8">
      <c r="A15" s="209" t="s">
        <v>1459</v>
      </c>
      <c r="B15" s="209" t="s">
        <v>1460</v>
      </c>
      <c r="C15" s="79">
        <v>612450</v>
      </c>
      <c r="D15" s="79"/>
      <c r="E15" s="79">
        <f>+'INSUMOS A CORREGIR'!AX72</f>
        <v>353376</v>
      </c>
      <c r="F15" s="71">
        <f t="shared" si="0"/>
        <v>35337.599999999999</v>
      </c>
      <c r="G15" s="71">
        <f t="shared" si="1"/>
        <v>6714.1440000000002</v>
      </c>
      <c r="H15" s="96">
        <f t="shared" si="2"/>
        <v>395427.74399999995</v>
      </c>
    </row>
    <row r="16" spans="1:8">
      <c r="A16" s="207" t="s">
        <v>1461</v>
      </c>
      <c r="B16" s="207" t="s">
        <v>1462</v>
      </c>
      <c r="C16" s="208">
        <v>77420</v>
      </c>
      <c r="D16" s="208"/>
      <c r="E16" s="208">
        <f>+'INSUMOS A CORREGIR'!AX67</f>
        <v>11116</v>
      </c>
      <c r="F16" s="71">
        <f t="shared" si="0"/>
        <v>1111.6000000000001</v>
      </c>
      <c r="G16" s="71">
        <f t="shared" si="1"/>
        <v>211.20400000000004</v>
      </c>
      <c r="H16" s="96">
        <f t="shared" si="2"/>
        <v>12438.804</v>
      </c>
    </row>
    <row r="17" spans="1:8">
      <c r="A17" s="209" t="s">
        <v>1463</v>
      </c>
      <c r="B17" s="209" t="s">
        <v>1464</v>
      </c>
      <c r="C17" s="79">
        <v>51249025</v>
      </c>
      <c r="D17" s="79"/>
      <c r="E17" s="79">
        <f>+'INSUMOS A CORREGIR'!AX65</f>
        <v>5875537.5</v>
      </c>
      <c r="F17" s="71">
        <f t="shared" si="0"/>
        <v>587553.75</v>
      </c>
      <c r="G17" s="71">
        <f t="shared" si="1"/>
        <v>111635.21249999999</v>
      </c>
      <c r="H17" s="96">
        <f t="shared" si="2"/>
        <v>6574726.4625000004</v>
      </c>
    </row>
    <row r="18" spans="1:8">
      <c r="A18" s="207" t="s">
        <v>1465</v>
      </c>
      <c r="B18" s="207" t="s">
        <v>1466</v>
      </c>
      <c r="C18" s="208">
        <v>48531647</v>
      </c>
      <c r="D18" s="208"/>
      <c r="E18" s="208">
        <f>+'INSUMOS A CORREGIR'!AX68+'INSUMOS A CORREGIR'!AX69+'INSUMOS A CORREGIR'!AX70</f>
        <v>3305169.25</v>
      </c>
      <c r="F18" s="71">
        <f t="shared" si="0"/>
        <v>330516.92500000005</v>
      </c>
      <c r="G18" s="71">
        <f t="shared" si="1"/>
        <v>62798.21575000001</v>
      </c>
      <c r="H18" s="96">
        <f t="shared" si="2"/>
        <v>3698484.3907499998</v>
      </c>
    </row>
    <row r="19" spans="1:8">
      <c r="A19" s="209" t="s">
        <v>1467</v>
      </c>
      <c r="B19" s="209" t="s">
        <v>1468</v>
      </c>
      <c r="C19" s="79">
        <v>4737104</v>
      </c>
      <c r="D19" s="79"/>
      <c r="E19" s="79">
        <f>+'INSUMOS A CORREGIR'!AX21+'INSUMOS A CORREGIR'!AX22</f>
        <v>2509198.25</v>
      </c>
      <c r="F19" s="71">
        <f t="shared" si="0"/>
        <v>250919.82500000001</v>
      </c>
      <c r="G19" s="71">
        <f t="shared" si="1"/>
        <v>47674.766750000003</v>
      </c>
      <c r="H19" s="96">
        <f t="shared" si="2"/>
        <v>2807792.8417500001</v>
      </c>
    </row>
    <row r="20" spans="1:8">
      <c r="A20" s="207" t="s">
        <v>1469</v>
      </c>
      <c r="B20" s="207" t="s">
        <v>1470</v>
      </c>
      <c r="C20" s="208">
        <v>10683545</v>
      </c>
      <c r="D20" s="208"/>
      <c r="E20" s="208">
        <f>+'INSUMOS A CORREGIR'!AX7+'INSUMOS A CORREGIR'!AX18</f>
        <v>1415966.25</v>
      </c>
      <c r="F20" s="71">
        <f t="shared" si="0"/>
        <v>141596.625</v>
      </c>
      <c r="G20" s="71">
        <f t="shared" si="1"/>
        <v>26903.358749999999</v>
      </c>
      <c r="H20" s="96">
        <f t="shared" si="2"/>
        <v>1584466.2337499999</v>
      </c>
    </row>
    <row r="21" spans="1:8">
      <c r="A21" s="209" t="s">
        <v>1471</v>
      </c>
      <c r="B21" s="209" t="s">
        <v>1472</v>
      </c>
      <c r="C21" s="79">
        <v>6533011</v>
      </c>
      <c r="D21" s="79"/>
      <c r="E21" s="79">
        <f>+'INSUMOS A CORREGIR'!AX12</f>
        <v>788595</v>
      </c>
      <c r="F21" s="71">
        <f t="shared" si="0"/>
        <v>78859.5</v>
      </c>
      <c r="G21" s="71">
        <f t="shared" si="1"/>
        <v>14983.305</v>
      </c>
      <c r="H21" s="96">
        <f t="shared" si="2"/>
        <v>882437.80500000005</v>
      </c>
    </row>
    <row r="22" spans="1:8">
      <c r="A22" s="207" t="s">
        <v>1473</v>
      </c>
      <c r="B22" s="207" t="s">
        <v>1474</v>
      </c>
      <c r="C22" s="208">
        <v>9982204</v>
      </c>
      <c r="D22" s="208"/>
      <c r="E22" s="208">
        <f>+'INSUMOS A CORREGIR'!AX6+'INSUMOS A CORREGIR'!AX9+'INSUMOS A CORREGIR'!AX10</f>
        <v>2774043</v>
      </c>
      <c r="F22" s="71">
        <f t="shared" si="0"/>
        <v>277404.3</v>
      </c>
      <c r="G22" s="71">
        <f t="shared" si="1"/>
        <v>52706.816999999995</v>
      </c>
      <c r="H22" s="96">
        <f t="shared" si="2"/>
        <v>3104154.1169999996</v>
      </c>
    </row>
    <row r="23" spans="1:8">
      <c r="A23" s="209" t="s">
        <v>1475</v>
      </c>
      <c r="B23" s="209" t="s">
        <v>1476</v>
      </c>
      <c r="C23" s="79">
        <v>1148411</v>
      </c>
      <c r="D23" s="79"/>
      <c r="E23" s="79">
        <f>+'INSUMOS A CORREGIR'!AX3</f>
        <v>128583.75</v>
      </c>
      <c r="F23" s="71">
        <f t="shared" si="0"/>
        <v>12858.375</v>
      </c>
      <c r="G23" s="71">
        <f t="shared" si="1"/>
        <v>2443.0912499999999</v>
      </c>
      <c r="H23" s="96">
        <f t="shared" si="2"/>
        <v>143885.21625</v>
      </c>
    </row>
    <row r="24" spans="1:8">
      <c r="A24" s="207" t="s">
        <v>1477</v>
      </c>
      <c r="B24" s="207" t="s">
        <v>1478</v>
      </c>
      <c r="C24" s="208">
        <v>6440278</v>
      </c>
      <c r="D24" s="208"/>
      <c r="E24" s="208">
        <f>+'INSUMOS A CORREGIR'!AX2</f>
        <v>894381</v>
      </c>
      <c r="F24" s="71">
        <f t="shared" si="0"/>
        <v>89438.1</v>
      </c>
      <c r="G24" s="71">
        <f t="shared" si="1"/>
        <v>16993.239000000001</v>
      </c>
      <c r="H24" s="96">
        <f t="shared" si="2"/>
        <v>1000812.3389999999</v>
      </c>
    </row>
    <row r="25" spans="1:8">
      <c r="A25" s="209" t="s">
        <v>1479</v>
      </c>
      <c r="B25" s="209" t="s">
        <v>1480</v>
      </c>
      <c r="C25" s="79">
        <v>1265934</v>
      </c>
      <c r="D25" s="79"/>
      <c r="E25" s="79">
        <f>+'INSUMOS A CORREGIR'!AX4</f>
        <v>111537</v>
      </c>
      <c r="F25" s="71">
        <f t="shared" si="0"/>
        <v>11153.7</v>
      </c>
      <c r="G25" s="71">
        <f t="shared" si="1"/>
        <v>2119.203</v>
      </c>
      <c r="H25" s="96">
        <f t="shared" si="2"/>
        <v>124809.90299999999</v>
      </c>
    </row>
    <row r="26" spans="1:8">
      <c r="A26" s="207" t="s">
        <v>1481</v>
      </c>
      <c r="B26" s="207" t="s">
        <v>1482</v>
      </c>
      <c r="C26" s="208">
        <v>1234724</v>
      </c>
      <c r="D26" s="208"/>
      <c r="E26" s="208">
        <f>+'INSUMOS A CORREGIR'!AX5</f>
        <v>148338</v>
      </c>
      <c r="F26" s="71">
        <f t="shared" si="0"/>
        <v>14833.800000000001</v>
      </c>
      <c r="G26" s="71">
        <f t="shared" si="1"/>
        <v>2818.422</v>
      </c>
      <c r="H26" s="96">
        <f t="shared" si="2"/>
        <v>165990.22199999998</v>
      </c>
    </row>
    <row r="27" spans="1:8">
      <c r="A27" s="209" t="s">
        <v>1483</v>
      </c>
      <c r="B27" s="209" t="s">
        <v>1484</v>
      </c>
      <c r="C27" s="79">
        <v>1791545</v>
      </c>
      <c r="D27" s="79"/>
      <c r="E27" s="79">
        <f>+'INSUMOS A CORREGIR'!AX8</f>
        <v>226363.5</v>
      </c>
      <c r="F27" s="71">
        <f t="shared" si="0"/>
        <v>22636.350000000002</v>
      </c>
      <c r="G27" s="71">
        <f t="shared" si="1"/>
        <v>4300.9065000000001</v>
      </c>
      <c r="H27" s="96">
        <f t="shared" si="2"/>
        <v>253300.75650000002</v>
      </c>
    </row>
    <row r="28" spans="1:8">
      <c r="A28" s="207" t="s">
        <v>1485</v>
      </c>
      <c r="B28" s="207" t="s">
        <v>1486</v>
      </c>
      <c r="C28" s="208">
        <v>3525270</v>
      </c>
      <c r="D28" s="208"/>
      <c r="E28" s="208">
        <f>+'INSUMOS A CORREGIR'!AX11</f>
        <v>475380</v>
      </c>
      <c r="F28" s="71">
        <f t="shared" si="0"/>
        <v>47538</v>
      </c>
      <c r="G28" s="71">
        <f t="shared" si="1"/>
        <v>9032.2199999999993</v>
      </c>
      <c r="H28" s="96">
        <f t="shared" si="2"/>
        <v>531950.22</v>
      </c>
    </row>
    <row r="29" spans="1:8">
      <c r="A29" s="209" t="s">
        <v>1487</v>
      </c>
      <c r="B29" s="209" t="s">
        <v>1488</v>
      </c>
      <c r="C29" s="79">
        <v>7511294</v>
      </c>
      <c r="D29" s="79"/>
      <c r="E29" s="79">
        <f>+'INSUMOS A CORREGIR'!AX19+'INSUMOS A CORREGIR'!AX20</f>
        <v>1207914</v>
      </c>
      <c r="F29" s="71">
        <f t="shared" si="0"/>
        <v>120791.40000000001</v>
      </c>
      <c r="G29" s="71">
        <f t="shared" si="1"/>
        <v>22950.366000000002</v>
      </c>
      <c r="H29" s="96">
        <f t="shared" si="2"/>
        <v>1351655.7659999998</v>
      </c>
    </row>
    <row r="30" spans="1:8">
      <c r="A30" s="207" t="s">
        <v>1489</v>
      </c>
      <c r="B30" s="207" t="s">
        <v>1490</v>
      </c>
      <c r="C30" s="208">
        <v>29162385</v>
      </c>
      <c r="D30" s="208"/>
      <c r="E30" s="208">
        <f>+'INSUMOS A CORREGIR'!AX13+'INSUMOS A CORREGIR'!AX15</f>
        <v>3662553</v>
      </c>
      <c r="F30" s="71">
        <f t="shared" si="0"/>
        <v>366255.30000000005</v>
      </c>
      <c r="G30" s="71">
        <f t="shared" si="1"/>
        <v>69588.507000000012</v>
      </c>
      <c r="H30" s="96">
        <f t="shared" si="2"/>
        <v>4098396.807</v>
      </c>
    </row>
    <row r="31" spans="1:8">
      <c r="A31" s="209" t="s">
        <v>1491</v>
      </c>
      <c r="B31" s="209" t="s">
        <v>1492</v>
      </c>
      <c r="C31" s="79">
        <v>37560362</v>
      </c>
      <c r="D31" s="79"/>
      <c r="E31" s="79">
        <f>+'INSUMOS A CORREGIR'!AX14+'INSUMOS A CORREGIR'!AX16+'INSUMOS A CORREGIR'!AX17</f>
        <v>4017274.5</v>
      </c>
      <c r="F31" s="71">
        <f t="shared" si="0"/>
        <v>401727.45</v>
      </c>
      <c r="G31" s="71">
        <f t="shared" si="1"/>
        <v>76328.215500000006</v>
      </c>
      <c r="H31" s="96">
        <f t="shared" si="2"/>
        <v>4495330.1655000001</v>
      </c>
    </row>
    <row r="32" spans="1:8">
      <c r="A32" s="207" t="s">
        <v>1493</v>
      </c>
      <c r="B32" s="207" t="s">
        <v>1494</v>
      </c>
      <c r="C32" s="208">
        <v>22706588</v>
      </c>
      <c r="D32" s="208"/>
      <c r="E32" s="208">
        <f>+'INSUMOS A CORREGIR'!AX54+'INSUMOS A CORREGIR'!AX56+'INSUMOS A CORREGIR'!AX57+'INSUMOS A CORREGIR'!AX58</f>
        <v>1290501</v>
      </c>
      <c r="F32" s="71">
        <f t="shared" si="0"/>
        <v>129050.1</v>
      </c>
      <c r="G32" s="71">
        <f t="shared" si="1"/>
        <v>24519.519</v>
      </c>
      <c r="H32" s="96">
        <f t="shared" si="2"/>
        <v>1444070.6190000002</v>
      </c>
    </row>
    <row r="33" spans="1:8">
      <c r="A33" s="209" t="s">
        <v>1495</v>
      </c>
      <c r="B33" s="209" t="s">
        <v>1496</v>
      </c>
      <c r="C33" s="79">
        <v>257974</v>
      </c>
      <c r="D33" s="79"/>
      <c r="E33" s="79">
        <f>+'INSUMOS A CORREGIR'!AX88</f>
        <v>37040</v>
      </c>
      <c r="F33" s="71">
        <f t="shared" si="0"/>
        <v>3704</v>
      </c>
      <c r="G33" s="71">
        <f t="shared" si="1"/>
        <v>703.76</v>
      </c>
      <c r="H33" s="96">
        <f t="shared" si="2"/>
        <v>41447.760000000002</v>
      </c>
    </row>
    <row r="34" spans="1:8">
      <c r="A34" s="207" t="s">
        <v>1497</v>
      </c>
      <c r="B34" s="207" t="s">
        <v>1498</v>
      </c>
      <c r="C34" s="208">
        <v>712040</v>
      </c>
      <c r="D34" s="208"/>
      <c r="E34" s="208">
        <f>+'INSUMOS A CORREGIR'!AX84</f>
        <v>28697.599999999999</v>
      </c>
      <c r="F34" s="71">
        <f t="shared" si="0"/>
        <v>2869.76</v>
      </c>
      <c r="G34" s="71">
        <f t="shared" si="1"/>
        <v>545.25440000000003</v>
      </c>
      <c r="H34" s="96">
        <f t="shared" si="2"/>
        <v>32112.614400000002</v>
      </c>
    </row>
    <row r="35" spans="1:8">
      <c r="A35" s="209" t="s">
        <v>1499</v>
      </c>
      <c r="B35" s="209" t="s">
        <v>1500</v>
      </c>
      <c r="C35" s="79">
        <v>3555356</v>
      </c>
      <c r="D35" s="79"/>
      <c r="E35" s="79">
        <f>+'INSUMOS A CORREGIR'!AX75</f>
        <v>276510</v>
      </c>
      <c r="F35" s="71">
        <f t="shared" si="0"/>
        <v>27651</v>
      </c>
      <c r="G35" s="71">
        <f t="shared" si="1"/>
        <v>5253.6900000000005</v>
      </c>
      <c r="H35" s="96">
        <f t="shared" si="2"/>
        <v>309414.69</v>
      </c>
    </row>
    <row r="36" spans="1:8">
      <c r="A36" s="207" t="s">
        <v>1501</v>
      </c>
      <c r="B36" s="207" t="s">
        <v>1502</v>
      </c>
      <c r="C36" s="208">
        <v>187546</v>
      </c>
      <c r="D36" s="208"/>
      <c r="E36" s="208"/>
      <c r="F36" s="71">
        <f t="shared" si="0"/>
        <v>0</v>
      </c>
      <c r="G36" s="71">
        <f t="shared" si="1"/>
        <v>0</v>
      </c>
      <c r="H36" s="96">
        <f t="shared" si="2"/>
        <v>0</v>
      </c>
    </row>
    <row r="37" spans="1:8">
      <c r="A37" s="209" t="s">
        <v>1503</v>
      </c>
      <c r="B37" s="209" t="s">
        <v>1504</v>
      </c>
      <c r="C37" s="79">
        <v>2551337</v>
      </c>
      <c r="D37" s="79"/>
      <c r="E37" s="79"/>
      <c r="F37" s="71">
        <f t="shared" si="0"/>
        <v>0</v>
      </c>
      <c r="G37" s="71">
        <f t="shared" si="1"/>
        <v>0</v>
      </c>
      <c r="H37" s="96">
        <f t="shared" si="2"/>
        <v>0</v>
      </c>
    </row>
    <row r="38" spans="1:8">
      <c r="A38" s="207" t="s">
        <v>1505</v>
      </c>
      <c r="B38" s="207" t="s">
        <v>1506</v>
      </c>
      <c r="C38" s="208">
        <v>2906076</v>
      </c>
      <c r="D38" s="208"/>
      <c r="E38" s="208">
        <f>+'INSUMOS A CORREGIR'!AX37+'INSUMOS A CORREGIR'!AX39+'INSUMOS A CORREGIR'!AX40</f>
        <v>439887.8</v>
      </c>
      <c r="F38" s="71">
        <f t="shared" si="0"/>
        <v>43988.78</v>
      </c>
      <c r="G38" s="71">
        <f t="shared" si="1"/>
        <v>8357.868199999999</v>
      </c>
      <c r="H38" s="96">
        <f t="shared" si="2"/>
        <v>492234.44819999998</v>
      </c>
    </row>
    <row r="39" spans="1:8">
      <c r="A39" s="209" t="s">
        <v>1507</v>
      </c>
      <c r="B39" s="209" t="s">
        <v>1508</v>
      </c>
      <c r="C39" s="79">
        <v>1786493</v>
      </c>
      <c r="D39" s="79"/>
      <c r="E39" s="79">
        <f>+'INSUMOS A CORREGIR'!AX42+'INSUMOS A CORREGIR'!AX48</f>
        <v>67737.600000000006</v>
      </c>
      <c r="F39" s="71">
        <f t="shared" si="0"/>
        <v>6773.7600000000011</v>
      </c>
      <c r="G39" s="71">
        <f t="shared" si="1"/>
        <v>1287.0144000000003</v>
      </c>
      <c r="H39" s="96">
        <f t="shared" si="2"/>
        <v>75798.374400000001</v>
      </c>
    </row>
    <row r="40" spans="1:8">
      <c r="A40" s="207" t="s">
        <v>1509</v>
      </c>
      <c r="B40" s="207" t="s">
        <v>1510</v>
      </c>
      <c r="C40" s="208">
        <v>1166968</v>
      </c>
      <c r="D40" s="208"/>
      <c r="E40" s="208">
        <f>+'INSUMOS A CORREGIR'!AX32+'INSUMOS A CORREGIR'!AX33+'INSUMOS A CORREGIR'!AX34+'INSUMOS A CORREGIR'!AX35+'INSUMOS A CORREGIR'!AX36</f>
        <v>239766.59999999998</v>
      </c>
      <c r="F40" s="71">
        <f t="shared" si="0"/>
        <v>23976.66</v>
      </c>
      <c r="G40" s="71">
        <f t="shared" si="1"/>
        <v>4555.5654000000004</v>
      </c>
      <c r="H40" s="96">
        <f t="shared" si="2"/>
        <v>268298.82539999997</v>
      </c>
    </row>
    <row r="41" spans="1:8">
      <c r="A41" s="209" t="s">
        <v>1511</v>
      </c>
      <c r="B41" s="209" t="s">
        <v>1512</v>
      </c>
      <c r="C41" s="79">
        <v>1860464</v>
      </c>
      <c r="D41" s="79"/>
      <c r="E41" s="79">
        <f>+'INSUMOS A CORREGIR'!AX41+'INSUMOS A CORREGIR'!AX47</f>
        <v>171354.95</v>
      </c>
      <c r="F41" s="71">
        <f t="shared" si="0"/>
        <v>17135.495000000003</v>
      </c>
      <c r="G41" s="71">
        <f t="shared" si="1"/>
        <v>3255.7440500000007</v>
      </c>
      <c r="H41" s="96">
        <f t="shared" si="2"/>
        <v>191746.18905000002</v>
      </c>
    </row>
    <row r="42" spans="1:8">
      <c r="A42" s="207" t="s">
        <v>1513</v>
      </c>
      <c r="B42" s="207" t="s">
        <v>1514</v>
      </c>
      <c r="C42" s="208">
        <v>28065371</v>
      </c>
      <c r="D42" s="208"/>
      <c r="E42" s="208">
        <f>+'INSUMOS A CORREGIR'!AX85+'INSUMOS A CORREGIR'!AX86+'INSUMOS A CORREGIR'!AX87+'INSUMOS A CORREGIR'!AX89+'INSUMOS A CORREGIR'!AX90+'INSUMOS A CORREGIR'!AX91+'INSUMOS A CORREGIR'!AX92+'INSUMOS A CORREGIR'!AX93+'INSUMOS A CORREGIR'!AX94+'INSUMOS A CORREGIR'!AX95+'INSUMOS A CORREGIR'!AX96</f>
        <v>1430228.8</v>
      </c>
      <c r="F42" s="71">
        <f t="shared" si="0"/>
        <v>143022.88</v>
      </c>
      <c r="G42" s="71">
        <f t="shared" si="1"/>
        <v>27174.3472</v>
      </c>
      <c r="H42" s="96">
        <f t="shared" si="2"/>
        <v>1600426.0272000001</v>
      </c>
    </row>
    <row r="43" spans="1:8">
      <c r="A43" s="209" t="s">
        <v>1515</v>
      </c>
      <c r="B43" s="209" t="s">
        <v>1516</v>
      </c>
      <c r="C43" s="79">
        <v>35170848</v>
      </c>
      <c r="D43" s="79">
        <v>1376946</v>
      </c>
      <c r="E43" s="79">
        <f>+'liquidacion de personal Danna'!AF9</f>
        <v>7016330.0116666779</v>
      </c>
      <c r="F43" s="71">
        <f t="shared" si="0"/>
        <v>701633.00116666779</v>
      </c>
      <c r="G43" s="71">
        <f t="shared" si="1"/>
        <v>133310.27022166687</v>
      </c>
      <c r="H43" s="96">
        <f t="shared" si="2"/>
        <v>7851273.2830550121</v>
      </c>
    </row>
    <row r="44" spans="1:8">
      <c r="A44" s="207" t="s">
        <v>1517</v>
      </c>
      <c r="B44" s="207" t="s">
        <v>1518</v>
      </c>
      <c r="C44" s="208">
        <v>3177209531</v>
      </c>
      <c r="D44" s="208">
        <v>169007509</v>
      </c>
      <c r="E44" s="208">
        <f>+'liquidacion de personal Danna'!AF8</f>
        <v>438924504.00000006</v>
      </c>
      <c r="F44" s="71">
        <f t="shared" si="0"/>
        <v>43892450.400000006</v>
      </c>
      <c r="G44" s="71">
        <f t="shared" si="1"/>
        <v>8339565.5760000013</v>
      </c>
      <c r="H44" s="96">
        <f t="shared" si="2"/>
        <v>491156519.97600007</v>
      </c>
    </row>
    <row r="45" spans="1:8">
      <c r="C45" s="210">
        <f>SUM(C2:C44)</f>
        <v>3755077358</v>
      </c>
      <c r="D45" s="121">
        <f>SUM(D2:D44)</f>
        <v>170384455</v>
      </c>
      <c r="E45" s="121">
        <f>SUM(E2:E44)</f>
        <v>511298958.31166673</v>
      </c>
      <c r="F45">
        <f>SUM(F2:F44)</f>
        <v>51129895.83116667</v>
      </c>
      <c r="G45">
        <f t="shared" si="1"/>
        <v>9714680.207921667</v>
      </c>
      <c r="H45" s="121">
        <f t="shared" si="2"/>
        <v>572143534.35075498</v>
      </c>
    </row>
    <row r="46" spans="1:8">
      <c r="C46" s="210"/>
      <c r="H46" s="121"/>
    </row>
    <row r="47" spans="1:8">
      <c r="H47" s="121"/>
    </row>
  </sheetData>
  <autoFilter ref="A1:H4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11"/>
  <sheetViews>
    <sheetView zoomScaleNormal="100" workbookViewId="0">
      <selection activeCell="K16" sqref="K16"/>
    </sheetView>
  </sheetViews>
  <sheetFormatPr baseColWidth="10" defaultRowHeight="15"/>
  <cols>
    <col min="2" max="2" width="17.42578125" customWidth="1"/>
    <col min="3" max="3" width="11.28515625" bestFit="1" customWidth="1"/>
    <col min="4" max="4" width="10.7109375" bestFit="1" customWidth="1"/>
    <col min="5" max="5" width="13.7109375" bestFit="1" customWidth="1"/>
    <col min="6" max="6" width="14.7109375" bestFit="1" customWidth="1"/>
    <col min="7" max="7" width="12.42578125" bestFit="1" customWidth="1"/>
    <col min="8" max="8" width="14.140625" customWidth="1"/>
    <col min="9" max="9" width="12.42578125" bestFit="1" customWidth="1"/>
    <col min="10" max="10" width="13" bestFit="1" customWidth="1"/>
    <col min="11" max="11" width="14" customWidth="1"/>
    <col min="12" max="12" width="14.28515625" bestFit="1" customWidth="1"/>
    <col min="13" max="13" width="10.7109375" bestFit="1" customWidth="1"/>
    <col min="14" max="14" width="14.85546875" customWidth="1"/>
    <col min="15" max="15" width="13.42578125" bestFit="1" customWidth="1"/>
    <col min="16" max="16" width="17.42578125" bestFit="1" customWidth="1"/>
    <col min="17" max="17" width="13.7109375" bestFit="1" customWidth="1"/>
    <col min="18" max="18" width="17.42578125" bestFit="1" customWidth="1"/>
    <col min="19" max="19" width="16.7109375" bestFit="1" customWidth="1"/>
    <col min="20" max="20" width="10.5703125" bestFit="1" customWidth="1"/>
    <col min="21" max="21" width="15.85546875" bestFit="1" customWidth="1"/>
    <col min="22" max="22" width="16.5703125" bestFit="1" customWidth="1"/>
    <col min="23" max="23" width="10.5703125" bestFit="1" customWidth="1"/>
    <col min="24" max="24" width="12.85546875" bestFit="1" customWidth="1"/>
    <col min="25" max="25" width="12.140625" bestFit="1" customWidth="1"/>
    <col min="26" max="26" width="10.5703125" bestFit="1" customWidth="1"/>
    <col min="27" max="27" width="13.7109375" bestFit="1" customWidth="1"/>
    <col min="28" max="28" width="12.140625" bestFit="1" customWidth="1"/>
    <col min="29" max="29" width="10.5703125" bestFit="1" customWidth="1"/>
    <col min="30" max="30" width="16.5703125" bestFit="1" customWidth="1"/>
    <col min="31" max="31" width="12.140625" bestFit="1" customWidth="1"/>
    <col min="32" max="32" width="10.5703125" bestFit="1" customWidth="1"/>
    <col min="33" max="33" width="14.140625" bestFit="1" customWidth="1"/>
    <col min="34" max="34" width="12.140625" bestFit="1" customWidth="1"/>
    <col min="35" max="35" width="10.5703125" bestFit="1" customWidth="1"/>
    <col min="36" max="36" width="13.42578125" bestFit="1" customWidth="1"/>
    <col min="37" max="37" width="26.7109375" bestFit="1" customWidth="1"/>
    <col min="38" max="38" width="10.5703125" bestFit="1" customWidth="1"/>
    <col min="39" max="39" width="13.7109375" bestFit="1" customWidth="1"/>
    <col min="40" max="40" width="22.42578125" bestFit="1" customWidth="1"/>
    <col min="41" max="41" width="10.5703125" bestFit="1" customWidth="1"/>
    <col min="42" max="42" width="12.5703125" bestFit="1" customWidth="1"/>
    <col min="43" max="43" width="13.5703125" bestFit="1" customWidth="1"/>
    <col min="44" max="44" width="10.5703125" bestFit="1" customWidth="1"/>
    <col min="45" max="45" width="12.5703125" bestFit="1" customWidth="1"/>
    <col min="46" max="46" width="12.85546875" bestFit="1" customWidth="1"/>
    <col min="47" max="47" width="10.5703125" bestFit="1" customWidth="1"/>
    <col min="48" max="48" width="12.5703125" bestFit="1" customWidth="1"/>
    <col min="52" max="52" width="10.5703125" customWidth="1"/>
    <col min="54" max="54" width="13.28515625" bestFit="1" customWidth="1"/>
    <col min="55" max="55" width="16.7109375" customWidth="1"/>
    <col min="57" max="57" width="25.5703125" bestFit="1" customWidth="1"/>
    <col min="60" max="60" width="19.140625" bestFit="1" customWidth="1"/>
    <col min="61" max="61" width="16.42578125" bestFit="1" customWidth="1"/>
    <col min="63" max="63" width="23.85546875" bestFit="1" customWidth="1"/>
    <col min="64" max="64" width="16.5703125" bestFit="1" customWidth="1"/>
    <col min="66" max="66" width="20.85546875" bestFit="1" customWidth="1"/>
    <col min="67" max="67" width="12.7109375" customWidth="1"/>
    <col min="73" max="73" width="17.85546875" customWidth="1"/>
    <col min="75" max="75" width="12.42578125" customWidth="1"/>
    <col min="76" max="76" width="19.7109375" customWidth="1"/>
  </cols>
  <sheetData>
    <row r="1" spans="1:78" s="43" customFormat="1" ht="34.5" customHeight="1">
      <c r="A1" s="270" t="s">
        <v>190</v>
      </c>
      <c r="B1" s="270"/>
      <c r="C1" s="271" t="s">
        <v>191</v>
      </c>
      <c r="D1" s="41" t="s">
        <v>192</v>
      </c>
      <c r="E1" s="264" t="s">
        <v>193</v>
      </c>
      <c r="F1" s="266" t="s">
        <v>194</v>
      </c>
      <c r="G1" s="41" t="s">
        <v>195</v>
      </c>
      <c r="H1" s="264" t="s">
        <v>193</v>
      </c>
      <c r="I1" s="265" t="s">
        <v>196</v>
      </c>
      <c r="J1" s="41" t="s">
        <v>197</v>
      </c>
      <c r="K1" s="264" t="s">
        <v>193</v>
      </c>
      <c r="L1" s="265" t="s">
        <v>198</v>
      </c>
      <c r="M1" s="41" t="s">
        <v>199</v>
      </c>
      <c r="N1" s="264" t="s">
        <v>193</v>
      </c>
      <c r="O1" s="265" t="s">
        <v>200</v>
      </c>
      <c r="P1" s="41" t="s">
        <v>201</v>
      </c>
      <c r="Q1" s="264" t="s">
        <v>193</v>
      </c>
      <c r="R1" s="266" t="s">
        <v>202</v>
      </c>
      <c r="S1" s="41" t="s">
        <v>203</v>
      </c>
      <c r="T1" s="264" t="s">
        <v>193</v>
      </c>
      <c r="U1" s="266" t="s">
        <v>204</v>
      </c>
      <c r="V1" s="41" t="s">
        <v>205</v>
      </c>
      <c r="W1" s="264" t="s">
        <v>193</v>
      </c>
      <c r="X1" s="265" t="s">
        <v>206</v>
      </c>
      <c r="Y1" s="41" t="s">
        <v>207</v>
      </c>
      <c r="Z1" s="264" t="s">
        <v>193</v>
      </c>
      <c r="AA1" s="266" t="s">
        <v>208</v>
      </c>
      <c r="AB1" s="41" t="s">
        <v>209</v>
      </c>
      <c r="AC1" s="264" t="s">
        <v>193</v>
      </c>
      <c r="AD1" s="266" t="s">
        <v>210</v>
      </c>
      <c r="AE1" s="41" t="s">
        <v>211</v>
      </c>
      <c r="AF1" s="269" t="s">
        <v>193</v>
      </c>
      <c r="AG1" s="266" t="s">
        <v>212</v>
      </c>
      <c r="AH1" s="41" t="s">
        <v>213</v>
      </c>
      <c r="AI1" s="269" t="s">
        <v>193</v>
      </c>
      <c r="AJ1" s="265" t="s">
        <v>214</v>
      </c>
      <c r="AK1" s="42" t="s">
        <v>215</v>
      </c>
      <c r="AL1" s="264" t="s">
        <v>193</v>
      </c>
      <c r="AM1" s="265" t="s">
        <v>216</v>
      </c>
      <c r="AN1" s="42" t="s">
        <v>217</v>
      </c>
      <c r="AO1" s="264" t="s">
        <v>193</v>
      </c>
      <c r="AP1" s="268" t="s">
        <v>218</v>
      </c>
      <c r="AQ1" s="41" t="s">
        <v>219</v>
      </c>
      <c r="AR1" s="264" t="s">
        <v>193</v>
      </c>
      <c r="AS1" s="265" t="s">
        <v>220</v>
      </c>
      <c r="AT1" s="41" t="s">
        <v>221</v>
      </c>
      <c r="AU1" s="264" t="s">
        <v>193</v>
      </c>
      <c r="AV1" s="265" t="s">
        <v>222</v>
      </c>
      <c r="AW1" s="41" t="s">
        <v>223</v>
      </c>
      <c r="AX1" s="264" t="s">
        <v>193</v>
      </c>
      <c r="AY1" s="266" t="s">
        <v>224</v>
      </c>
      <c r="AZ1" s="41" t="s">
        <v>225</v>
      </c>
      <c r="BA1" s="267" t="s">
        <v>193</v>
      </c>
      <c r="BB1" s="267" t="s">
        <v>226</v>
      </c>
      <c r="BC1" s="41" t="s">
        <v>227</v>
      </c>
      <c r="BD1" s="264" t="s">
        <v>193</v>
      </c>
      <c r="BE1" s="265" t="s">
        <v>228</v>
      </c>
      <c r="BF1" s="41" t="s">
        <v>229</v>
      </c>
      <c r="BG1" s="264" t="s">
        <v>193</v>
      </c>
      <c r="BH1" s="266" t="s">
        <v>230</v>
      </c>
      <c r="BI1" s="41" t="s">
        <v>231</v>
      </c>
      <c r="BJ1" s="264" t="s">
        <v>193</v>
      </c>
      <c r="BK1" s="268" t="s">
        <v>232</v>
      </c>
      <c r="BL1" s="41" t="s">
        <v>233</v>
      </c>
      <c r="BM1" s="264" t="s">
        <v>193</v>
      </c>
      <c r="BN1" s="265" t="s">
        <v>234</v>
      </c>
      <c r="BO1" s="41" t="s">
        <v>235</v>
      </c>
      <c r="BP1" s="264" t="s">
        <v>193</v>
      </c>
      <c r="BQ1" s="265" t="s">
        <v>236</v>
      </c>
      <c r="BR1" s="41" t="s">
        <v>237</v>
      </c>
      <c r="BS1" s="264" t="s">
        <v>193</v>
      </c>
      <c r="BT1" s="265" t="s">
        <v>238</v>
      </c>
      <c r="BU1" s="41" t="s">
        <v>239</v>
      </c>
      <c r="BV1" s="264" t="s">
        <v>193</v>
      </c>
      <c r="BW1" s="265" t="s">
        <v>240</v>
      </c>
      <c r="BX1" s="41" t="s">
        <v>241</v>
      </c>
      <c r="BY1" s="264" t="s">
        <v>193</v>
      </c>
      <c r="BZ1" s="266" t="s">
        <v>242</v>
      </c>
    </row>
    <row r="2" spans="1:78" s="43" customFormat="1" ht="33.6" customHeight="1">
      <c r="A2" s="270"/>
      <c r="B2" s="270"/>
      <c r="C2" s="271"/>
      <c r="D2" s="41" t="s">
        <v>56</v>
      </c>
      <c r="E2" s="264"/>
      <c r="F2" s="266"/>
      <c r="G2" s="41" t="s">
        <v>57</v>
      </c>
      <c r="H2" s="264"/>
      <c r="I2" s="265"/>
      <c r="J2" s="41" t="s">
        <v>58</v>
      </c>
      <c r="K2" s="264"/>
      <c r="L2" s="265"/>
      <c r="M2" s="41" t="s">
        <v>59</v>
      </c>
      <c r="N2" s="264"/>
      <c r="O2" s="265"/>
      <c r="P2" s="41" t="s">
        <v>60</v>
      </c>
      <c r="Q2" s="264"/>
      <c r="R2" s="266"/>
      <c r="S2" s="41" t="s">
        <v>61</v>
      </c>
      <c r="T2" s="264"/>
      <c r="U2" s="266"/>
      <c r="V2" s="41" t="s">
        <v>62</v>
      </c>
      <c r="W2" s="264"/>
      <c r="X2" s="265"/>
      <c r="Y2" s="41" t="s">
        <v>63</v>
      </c>
      <c r="Z2" s="264"/>
      <c r="AA2" s="266"/>
      <c r="AB2" s="41" t="s">
        <v>64</v>
      </c>
      <c r="AC2" s="264"/>
      <c r="AD2" s="266"/>
      <c r="AE2" s="41" t="s">
        <v>65</v>
      </c>
      <c r="AF2" s="269"/>
      <c r="AG2" s="266"/>
      <c r="AH2" s="41" t="s">
        <v>66</v>
      </c>
      <c r="AI2" s="269"/>
      <c r="AJ2" s="265"/>
      <c r="AK2" s="41" t="s">
        <v>67</v>
      </c>
      <c r="AL2" s="264"/>
      <c r="AM2" s="265"/>
      <c r="AN2" s="41" t="s">
        <v>67</v>
      </c>
      <c r="AO2" s="264"/>
      <c r="AP2" s="268"/>
      <c r="AQ2" s="41" t="s">
        <v>68</v>
      </c>
      <c r="AR2" s="264"/>
      <c r="AS2" s="265"/>
      <c r="AT2" s="41" t="s">
        <v>69</v>
      </c>
      <c r="AU2" s="264"/>
      <c r="AV2" s="265"/>
      <c r="AW2" s="41" t="s">
        <v>70</v>
      </c>
      <c r="AX2" s="264"/>
      <c r="AY2" s="266"/>
      <c r="AZ2" s="41" t="s">
        <v>71</v>
      </c>
      <c r="BA2" s="267"/>
      <c r="BB2" s="267"/>
      <c r="BC2" s="41" t="s">
        <v>72</v>
      </c>
      <c r="BD2" s="264"/>
      <c r="BE2" s="265"/>
      <c r="BF2" s="41" t="s">
        <v>73</v>
      </c>
      <c r="BG2" s="264"/>
      <c r="BH2" s="266"/>
      <c r="BI2" s="41" t="s">
        <v>74</v>
      </c>
      <c r="BJ2" s="264"/>
      <c r="BK2" s="268"/>
      <c r="BL2" s="41" t="s">
        <v>75</v>
      </c>
      <c r="BM2" s="264"/>
      <c r="BN2" s="265"/>
      <c r="BO2" s="41" t="s">
        <v>76</v>
      </c>
      <c r="BP2" s="264"/>
      <c r="BQ2" s="265"/>
      <c r="BR2" s="41" t="s">
        <v>77</v>
      </c>
      <c r="BS2" s="264"/>
      <c r="BT2" s="265"/>
      <c r="BU2" s="41" t="s">
        <v>78</v>
      </c>
      <c r="BV2" s="264"/>
      <c r="BW2" s="265"/>
      <c r="BX2" s="41" t="s">
        <v>79</v>
      </c>
      <c r="BY2" s="264"/>
      <c r="BZ2" s="266"/>
    </row>
    <row r="3" spans="1:78" ht="23.1" customHeight="1">
      <c r="A3" s="254" t="s">
        <v>243</v>
      </c>
      <c r="B3" s="254"/>
      <c r="C3" s="44">
        <v>130</v>
      </c>
      <c r="D3" s="45">
        <v>32</v>
      </c>
      <c r="E3" s="46">
        <v>32</v>
      </c>
      <c r="F3" s="47">
        <f>D3-E3</f>
        <v>0</v>
      </c>
      <c r="G3" s="45">
        <v>11</v>
      </c>
      <c r="H3" s="46">
        <v>11</v>
      </c>
      <c r="I3" s="47">
        <f>G3-H3</f>
        <v>0</v>
      </c>
      <c r="J3" s="45">
        <v>2</v>
      </c>
      <c r="K3" s="46">
        <v>2</v>
      </c>
      <c r="L3" s="47">
        <f>K3-J3</f>
        <v>0</v>
      </c>
      <c r="M3" s="45">
        <v>2</v>
      </c>
      <c r="N3" s="46">
        <v>2</v>
      </c>
      <c r="O3" s="46">
        <f>M3-2</f>
        <v>0</v>
      </c>
      <c r="P3" s="45">
        <v>10</v>
      </c>
      <c r="Q3" s="46">
        <v>10</v>
      </c>
      <c r="R3" s="46">
        <v>0</v>
      </c>
      <c r="S3" s="46">
        <v>8</v>
      </c>
      <c r="T3" s="46">
        <v>8</v>
      </c>
      <c r="U3" s="46">
        <v>0</v>
      </c>
      <c r="V3" s="46">
        <v>6</v>
      </c>
      <c r="W3" s="46">
        <v>6</v>
      </c>
      <c r="X3" s="46">
        <v>0</v>
      </c>
      <c r="Y3" s="46">
        <v>4</v>
      </c>
      <c r="Z3" s="46">
        <v>4</v>
      </c>
      <c r="AA3" s="46">
        <f>Y3-Z3</f>
        <v>0</v>
      </c>
      <c r="AB3" s="46">
        <v>6</v>
      </c>
      <c r="AC3" s="46">
        <v>6</v>
      </c>
      <c r="AD3" s="46">
        <f>AB3-AC3</f>
        <v>0</v>
      </c>
      <c r="AE3" s="46">
        <v>8</v>
      </c>
      <c r="AF3" s="46">
        <v>8</v>
      </c>
      <c r="AG3" s="46">
        <f>AF3-AE3</f>
        <v>0</v>
      </c>
      <c r="AH3" s="46">
        <v>8</v>
      </c>
      <c r="AI3" s="46">
        <v>8</v>
      </c>
      <c r="AJ3" s="46">
        <f>AH3-AI3</f>
        <v>0</v>
      </c>
      <c r="AK3" s="46">
        <v>2</v>
      </c>
      <c r="AL3" s="46">
        <v>2</v>
      </c>
      <c r="AM3" s="46">
        <f>AK3-AL3</f>
        <v>0</v>
      </c>
      <c r="AN3" s="46">
        <v>1</v>
      </c>
      <c r="AO3" s="46">
        <v>2</v>
      </c>
      <c r="AP3" s="48">
        <f>AN3-AO3</f>
        <v>-1</v>
      </c>
      <c r="AQ3" s="46">
        <v>2</v>
      </c>
      <c r="AR3" s="46">
        <v>2</v>
      </c>
      <c r="AS3" s="46">
        <f>AR3-AQ3</f>
        <v>0</v>
      </c>
      <c r="AT3" s="46">
        <v>2</v>
      </c>
      <c r="AU3" s="46">
        <v>2</v>
      </c>
      <c r="AV3" s="46">
        <f>AT3-AU3</f>
        <v>0</v>
      </c>
      <c r="AW3" s="46">
        <v>4</v>
      </c>
      <c r="AX3" s="46">
        <v>4</v>
      </c>
      <c r="AY3" s="46">
        <f>AW3-AX3</f>
        <v>0</v>
      </c>
      <c r="AZ3" s="46">
        <v>1</v>
      </c>
      <c r="BA3" s="46">
        <v>1</v>
      </c>
      <c r="BB3" s="46">
        <f>BA3-AZ3</f>
        <v>0</v>
      </c>
      <c r="BC3" s="46">
        <v>4</v>
      </c>
      <c r="BD3" s="46">
        <v>4</v>
      </c>
      <c r="BE3" s="46">
        <v>0</v>
      </c>
      <c r="BF3" s="46">
        <v>3</v>
      </c>
      <c r="BG3" s="46">
        <v>2</v>
      </c>
      <c r="BH3" s="46">
        <v>1</v>
      </c>
      <c r="BI3" s="45">
        <v>2</v>
      </c>
      <c r="BJ3" s="45">
        <v>3</v>
      </c>
      <c r="BK3" s="48">
        <f>BI3-BJ3</f>
        <v>-1</v>
      </c>
      <c r="BL3" s="46">
        <v>2</v>
      </c>
      <c r="BM3" s="46">
        <v>2</v>
      </c>
      <c r="BN3" s="46">
        <v>0</v>
      </c>
      <c r="BO3" s="46">
        <v>2</v>
      </c>
      <c r="BP3" s="46">
        <v>2</v>
      </c>
      <c r="BQ3" s="46">
        <v>0</v>
      </c>
      <c r="BR3" s="46">
        <v>3</v>
      </c>
      <c r="BS3" s="46">
        <v>3</v>
      </c>
      <c r="BT3" s="46">
        <f>BR3-BS3</f>
        <v>0</v>
      </c>
      <c r="BU3" s="46">
        <v>2</v>
      </c>
      <c r="BV3" s="46">
        <v>2</v>
      </c>
      <c r="BW3" s="46">
        <v>0</v>
      </c>
      <c r="BX3" s="46">
        <v>3</v>
      </c>
      <c r="BY3" s="49">
        <v>2</v>
      </c>
      <c r="BZ3" s="49">
        <v>1</v>
      </c>
    </row>
    <row r="4" spans="1:78" ht="23.1" customHeight="1">
      <c r="A4" s="254" t="s">
        <v>244</v>
      </c>
      <c r="B4" s="254"/>
      <c r="C4" s="44">
        <v>40</v>
      </c>
      <c r="D4" s="45">
        <v>12</v>
      </c>
      <c r="E4" s="46">
        <v>10</v>
      </c>
      <c r="F4" s="50">
        <f>SUM(D4-E4)</f>
        <v>2</v>
      </c>
      <c r="G4" s="45">
        <v>3</v>
      </c>
      <c r="H4" s="46">
        <v>3</v>
      </c>
      <c r="I4" s="47">
        <f t="shared" ref="I4:I6" si="0">G4-H4</f>
        <v>0</v>
      </c>
      <c r="J4" s="45">
        <v>2</v>
      </c>
      <c r="K4" s="46">
        <v>2</v>
      </c>
      <c r="L4" s="47">
        <f t="shared" ref="L4:L6" si="1">K4-J4</f>
        <v>0</v>
      </c>
      <c r="M4" s="45"/>
      <c r="N4" s="46"/>
      <c r="O4" s="46"/>
      <c r="P4" s="45">
        <v>2</v>
      </c>
      <c r="Q4" s="46">
        <v>0</v>
      </c>
      <c r="R4" s="51">
        <f>P4-Q4</f>
        <v>2</v>
      </c>
      <c r="S4" s="46">
        <v>2</v>
      </c>
      <c r="T4" s="46">
        <v>0</v>
      </c>
      <c r="U4" s="46">
        <v>2</v>
      </c>
      <c r="V4" s="46">
        <v>2</v>
      </c>
      <c r="W4" s="46">
        <v>2</v>
      </c>
      <c r="X4" s="46">
        <v>0</v>
      </c>
      <c r="Y4" s="46">
        <v>1</v>
      </c>
      <c r="Z4" s="46">
        <v>0</v>
      </c>
      <c r="AA4" s="51">
        <f>Y4-Z4</f>
        <v>1</v>
      </c>
      <c r="AB4" s="46">
        <v>2</v>
      </c>
      <c r="AC4" s="46">
        <v>1</v>
      </c>
      <c r="AD4" s="51">
        <f>AB4-AC4</f>
        <v>1</v>
      </c>
      <c r="AE4" s="46">
        <v>1</v>
      </c>
      <c r="AF4" s="46">
        <v>1</v>
      </c>
      <c r="AG4" s="46">
        <f t="shared" ref="AG4" si="2">AF4-AE4</f>
        <v>0</v>
      </c>
      <c r="AH4" s="46">
        <v>2</v>
      </c>
      <c r="AI4" s="46">
        <v>2</v>
      </c>
      <c r="AJ4" s="46">
        <f>AH4-AI4</f>
        <v>0</v>
      </c>
      <c r="AK4" s="46"/>
      <c r="AL4" s="46"/>
      <c r="AM4" s="46"/>
      <c r="AN4" s="46"/>
      <c r="AO4" s="46"/>
      <c r="AP4" s="46"/>
      <c r="AQ4" s="46">
        <v>1</v>
      </c>
      <c r="AR4" s="46">
        <v>1</v>
      </c>
      <c r="AS4" s="46">
        <v>0</v>
      </c>
      <c r="AT4" s="46">
        <v>1</v>
      </c>
      <c r="AU4" s="46">
        <v>1</v>
      </c>
      <c r="AV4" s="46">
        <f>AT4-AU4</f>
        <v>0</v>
      </c>
      <c r="AW4" s="46">
        <v>2</v>
      </c>
      <c r="AX4" s="46">
        <v>1</v>
      </c>
      <c r="AY4" s="51">
        <v>1</v>
      </c>
      <c r="AZ4" s="46"/>
      <c r="BA4" s="46"/>
      <c r="BB4" s="46"/>
      <c r="BC4" s="46">
        <v>2</v>
      </c>
      <c r="BD4" s="46">
        <v>2</v>
      </c>
      <c r="BE4" s="46">
        <v>0</v>
      </c>
      <c r="BF4" s="46">
        <v>2</v>
      </c>
      <c r="BG4" s="46">
        <v>0</v>
      </c>
      <c r="BH4" s="46">
        <f>BF4-BG4</f>
        <v>2</v>
      </c>
      <c r="BI4" s="46">
        <v>1</v>
      </c>
      <c r="BJ4" s="46">
        <v>1</v>
      </c>
      <c r="BK4" s="46">
        <f>BI4-BJ4</f>
        <v>0</v>
      </c>
      <c r="BL4" s="46">
        <v>1</v>
      </c>
      <c r="BM4" s="46">
        <v>1</v>
      </c>
      <c r="BN4" s="46">
        <v>0</v>
      </c>
      <c r="BO4" s="46"/>
      <c r="BP4" s="46"/>
      <c r="BQ4" s="46"/>
      <c r="BR4" s="46">
        <v>1</v>
      </c>
      <c r="BS4" s="46">
        <v>1</v>
      </c>
      <c r="BT4" s="46">
        <f>BR4-BS4</f>
        <v>0</v>
      </c>
      <c r="BU4" s="46"/>
      <c r="BV4" s="46"/>
      <c r="BW4" s="46"/>
      <c r="BX4" s="46"/>
      <c r="BY4" s="49"/>
      <c r="BZ4" s="49"/>
    </row>
    <row r="5" spans="1:78" ht="29.1" customHeight="1">
      <c r="A5" s="254" t="s">
        <v>245</v>
      </c>
      <c r="B5" s="254"/>
      <c r="C5" s="44">
        <v>5</v>
      </c>
      <c r="D5" s="45">
        <v>3</v>
      </c>
      <c r="E5" s="46">
        <v>3</v>
      </c>
      <c r="F5" s="47">
        <f t="shared" ref="F5:F6" si="3">D5-E5</f>
        <v>0</v>
      </c>
      <c r="G5" s="45">
        <v>1</v>
      </c>
      <c r="H5" s="46">
        <v>1</v>
      </c>
      <c r="I5" s="47">
        <f t="shared" si="0"/>
        <v>0</v>
      </c>
      <c r="J5" s="45"/>
      <c r="K5" s="46"/>
      <c r="L5" s="47">
        <f t="shared" si="1"/>
        <v>0</v>
      </c>
      <c r="M5" s="45"/>
      <c r="N5" s="46"/>
      <c r="O5" s="46"/>
      <c r="P5" s="45"/>
      <c r="Q5" s="46"/>
      <c r="R5" s="46"/>
      <c r="S5" s="46"/>
      <c r="T5" s="46"/>
      <c r="U5" s="46"/>
      <c r="V5" s="46"/>
      <c r="W5" s="46"/>
      <c r="X5" s="46"/>
      <c r="Y5" s="46"/>
      <c r="Z5" s="46"/>
      <c r="AA5" s="46"/>
      <c r="AB5" s="46"/>
      <c r="AC5" s="46"/>
      <c r="AD5" s="46"/>
      <c r="AE5" s="46">
        <v>1</v>
      </c>
      <c r="AF5" s="46">
        <v>0</v>
      </c>
      <c r="AG5" s="51">
        <v>1</v>
      </c>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9"/>
      <c r="BZ5" s="49"/>
    </row>
    <row r="6" spans="1:78" ht="51.6" customHeight="1">
      <c r="A6" s="254" t="s">
        <v>246</v>
      </c>
      <c r="B6" s="254"/>
      <c r="C6" s="44">
        <v>5</v>
      </c>
      <c r="D6" s="45">
        <v>1</v>
      </c>
      <c r="E6" s="46">
        <v>1</v>
      </c>
      <c r="F6" s="47">
        <f t="shared" si="3"/>
        <v>0</v>
      </c>
      <c r="G6" s="45">
        <v>1</v>
      </c>
      <c r="H6" s="46">
        <v>1</v>
      </c>
      <c r="I6" s="47">
        <f t="shared" si="0"/>
        <v>0</v>
      </c>
      <c r="J6" s="45">
        <v>1</v>
      </c>
      <c r="K6" s="46">
        <v>1</v>
      </c>
      <c r="L6" s="47">
        <f t="shared" si="1"/>
        <v>0</v>
      </c>
      <c r="M6" s="45"/>
      <c r="N6" s="46"/>
      <c r="O6" s="46"/>
      <c r="P6" s="45"/>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v>1</v>
      </c>
      <c r="BD6" s="46">
        <v>1</v>
      </c>
      <c r="BE6" s="46">
        <v>0</v>
      </c>
      <c r="BF6" s="46">
        <v>1</v>
      </c>
      <c r="BG6" s="46">
        <v>1</v>
      </c>
      <c r="BH6" s="46">
        <v>0</v>
      </c>
      <c r="BI6" s="46"/>
      <c r="BJ6" s="46"/>
      <c r="BK6" s="46"/>
      <c r="BL6" s="46"/>
      <c r="BM6" s="46"/>
      <c r="BN6" s="46"/>
      <c r="BO6" s="46"/>
      <c r="BP6" s="46"/>
      <c r="BQ6" s="46"/>
      <c r="BR6" s="46"/>
      <c r="BS6" s="46"/>
      <c r="BT6" s="46"/>
      <c r="BU6" s="46"/>
      <c r="BV6" s="46"/>
      <c r="BW6" s="46"/>
      <c r="BX6" s="46"/>
      <c r="BY6" s="49"/>
      <c r="BZ6" s="49"/>
    </row>
    <row r="7" spans="1:78" ht="38.450000000000003" customHeight="1">
      <c r="A7" s="254" t="s">
        <v>247</v>
      </c>
      <c r="B7" s="254"/>
      <c r="C7" s="44">
        <v>5</v>
      </c>
      <c r="D7" s="45">
        <v>5</v>
      </c>
      <c r="E7" s="46">
        <v>4</v>
      </c>
      <c r="F7" s="50">
        <f>D7-E7</f>
        <v>1</v>
      </c>
      <c r="G7" s="45"/>
      <c r="H7" s="46"/>
      <c r="I7" s="47"/>
      <c r="J7" s="45"/>
      <c r="K7" s="46"/>
      <c r="L7" s="47"/>
      <c r="M7" s="45"/>
      <c r="N7" s="46"/>
      <c r="O7" s="46"/>
      <c r="P7" s="45"/>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9"/>
      <c r="BZ7" s="49"/>
    </row>
    <row r="8" spans="1:78" ht="38.450000000000003" customHeight="1">
      <c r="A8" s="255"/>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7"/>
    </row>
    <row r="9" spans="1:78" s="35" customFormat="1" ht="39" customHeight="1">
      <c r="A9" s="258" t="s">
        <v>248</v>
      </c>
      <c r="B9" s="259"/>
      <c r="C9" s="52">
        <f t="shared" ref="C9:BN9" si="4">SUM(C3:C7)</f>
        <v>185</v>
      </c>
      <c r="D9" s="53">
        <f t="shared" si="4"/>
        <v>53</v>
      </c>
      <c r="E9" s="54">
        <f t="shared" si="4"/>
        <v>50</v>
      </c>
      <c r="F9" s="54">
        <f t="shared" si="4"/>
        <v>3</v>
      </c>
      <c r="G9" s="55">
        <f t="shared" si="4"/>
        <v>16</v>
      </c>
      <c r="H9" s="54">
        <f t="shared" si="4"/>
        <v>16</v>
      </c>
      <c r="I9" s="54">
        <f t="shared" si="4"/>
        <v>0</v>
      </c>
      <c r="J9" s="53">
        <f t="shared" si="4"/>
        <v>5</v>
      </c>
      <c r="K9" s="56">
        <f t="shared" si="4"/>
        <v>5</v>
      </c>
      <c r="L9" s="54">
        <f t="shared" si="4"/>
        <v>0</v>
      </c>
      <c r="M9" s="53">
        <f t="shared" si="4"/>
        <v>2</v>
      </c>
      <c r="N9" s="54">
        <f t="shared" si="4"/>
        <v>2</v>
      </c>
      <c r="O9" s="54">
        <f t="shared" si="4"/>
        <v>0</v>
      </c>
      <c r="P9" s="53">
        <f t="shared" si="4"/>
        <v>12</v>
      </c>
      <c r="Q9" s="54">
        <f t="shared" si="4"/>
        <v>10</v>
      </c>
      <c r="R9" s="54">
        <f t="shared" si="4"/>
        <v>2</v>
      </c>
      <c r="S9" s="53">
        <f t="shared" si="4"/>
        <v>10</v>
      </c>
      <c r="T9" s="54">
        <f t="shared" si="4"/>
        <v>8</v>
      </c>
      <c r="U9" s="54">
        <f t="shared" si="4"/>
        <v>2</v>
      </c>
      <c r="V9" s="57">
        <f t="shared" si="4"/>
        <v>8</v>
      </c>
      <c r="W9" s="54">
        <f t="shared" si="4"/>
        <v>8</v>
      </c>
      <c r="X9" s="54">
        <f t="shared" si="4"/>
        <v>0</v>
      </c>
      <c r="Y9" s="53">
        <f t="shared" si="4"/>
        <v>5</v>
      </c>
      <c r="Z9" s="54">
        <f t="shared" si="4"/>
        <v>4</v>
      </c>
      <c r="AA9" s="54">
        <f t="shared" si="4"/>
        <v>1</v>
      </c>
      <c r="AB9" s="53">
        <f t="shared" si="4"/>
        <v>8</v>
      </c>
      <c r="AC9" s="54">
        <f t="shared" si="4"/>
        <v>7</v>
      </c>
      <c r="AD9" s="54">
        <f t="shared" si="4"/>
        <v>1</v>
      </c>
      <c r="AE9" s="53">
        <f t="shared" si="4"/>
        <v>10</v>
      </c>
      <c r="AF9" s="54">
        <f t="shared" si="4"/>
        <v>9</v>
      </c>
      <c r="AG9" s="54">
        <f t="shared" si="4"/>
        <v>1</v>
      </c>
      <c r="AH9" s="53">
        <f t="shared" si="4"/>
        <v>10</v>
      </c>
      <c r="AI9" s="54">
        <f t="shared" si="4"/>
        <v>10</v>
      </c>
      <c r="AJ9" s="54">
        <f t="shared" si="4"/>
        <v>0</v>
      </c>
      <c r="AK9" s="53">
        <f t="shared" si="4"/>
        <v>2</v>
      </c>
      <c r="AL9" s="54">
        <f t="shared" si="4"/>
        <v>2</v>
      </c>
      <c r="AM9" s="54">
        <f t="shared" si="4"/>
        <v>0</v>
      </c>
      <c r="AN9" s="53">
        <f t="shared" si="4"/>
        <v>1</v>
      </c>
      <c r="AO9" s="54">
        <f t="shared" si="4"/>
        <v>2</v>
      </c>
      <c r="AP9" s="58">
        <f t="shared" si="4"/>
        <v>-1</v>
      </c>
      <c r="AQ9" s="53">
        <f t="shared" si="4"/>
        <v>3</v>
      </c>
      <c r="AR9" s="54">
        <f t="shared" si="4"/>
        <v>3</v>
      </c>
      <c r="AS9" s="54">
        <f t="shared" si="4"/>
        <v>0</v>
      </c>
      <c r="AT9" s="53">
        <f t="shared" si="4"/>
        <v>3</v>
      </c>
      <c r="AU9" s="54">
        <f t="shared" si="4"/>
        <v>3</v>
      </c>
      <c r="AV9" s="54">
        <f t="shared" si="4"/>
        <v>0</v>
      </c>
      <c r="AW9" s="53">
        <f t="shared" si="4"/>
        <v>6</v>
      </c>
      <c r="AX9" s="54">
        <f t="shared" si="4"/>
        <v>5</v>
      </c>
      <c r="AY9" s="54">
        <f t="shared" si="4"/>
        <v>1</v>
      </c>
      <c r="AZ9" s="57">
        <f t="shared" si="4"/>
        <v>1</v>
      </c>
      <c r="BA9" s="54">
        <f t="shared" si="4"/>
        <v>1</v>
      </c>
      <c r="BB9" s="54">
        <f t="shared" si="4"/>
        <v>0</v>
      </c>
      <c r="BC9" s="53">
        <f t="shared" si="4"/>
        <v>7</v>
      </c>
      <c r="BD9" s="54">
        <f t="shared" si="4"/>
        <v>7</v>
      </c>
      <c r="BE9" s="54">
        <f t="shared" si="4"/>
        <v>0</v>
      </c>
      <c r="BF9" s="53">
        <f t="shared" si="4"/>
        <v>6</v>
      </c>
      <c r="BG9" s="54">
        <f t="shared" si="4"/>
        <v>3</v>
      </c>
      <c r="BH9" s="54">
        <f t="shared" si="4"/>
        <v>3</v>
      </c>
      <c r="BI9" s="53">
        <f t="shared" si="4"/>
        <v>3</v>
      </c>
      <c r="BJ9" s="54">
        <f t="shared" si="4"/>
        <v>4</v>
      </c>
      <c r="BK9" s="58">
        <f t="shared" si="4"/>
        <v>-1</v>
      </c>
      <c r="BL9" s="53">
        <f t="shared" si="4"/>
        <v>3</v>
      </c>
      <c r="BM9" s="54">
        <f t="shared" si="4"/>
        <v>3</v>
      </c>
      <c r="BN9" s="54">
        <f t="shared" si="4"/>
        <v>0</v>
      </c>
      <c r="BO9" s="53">
        <f t="shared" ref="BO9:BZ9" si="5">SUM(BO3:BO7)</f>
        <v>2</v>
      </c>
      <c r="BP9" s="54">
        <f t="shared" si="5"/>
        <v>2</v>
      </c>
      <c r="BQ9" s="54">
        <f t="shared" si="5"/>
        <v>0</v>
      </c>
      <c r="BR9" s="53">
        <f t="shared" si="5"/>
        <v>4</v>
      </c>
      <c r="BS9" s="54">
        <f t="shared" si="5"/>
        <v>4</v>
      </c>
      <c r="BT9" s="54">
        <f t="shared" si="5"/>
        <v>0</v>
      </c>
      <c r="BU9" s="53">
        <f t="shared" si="5"/>
        <v>2</v>
      </c>
      <c r="BV9" s="54">
        <f t="shared" si="5"/>
        <v>2</v>
      </c>
      <c r="BW9" s="54">
        <f t="shared" si="5"/>
        <v>0</v>
      </c>
      <c r="BX9" s="53">
        <f t="shared" si="5"/>
        <v>3</v>
      </c>
      <c r="BY9" s="54">
        <f t="shared" si="5"/>
        <v>2</v>
      </c>
      <c r="BZ9" s="54">
        <f t="shared" si="5"/>
        <v>1</v>
      </c>
    </row>
    <row r="10" spans="1:78" s="35" customFormat="1" ht="39" customHeight="1">
      <c r="A10" s="260" t="s">
        <v>249</v>
      </c>
      <c r="B10" s="261"/>
      <c r="C10" s="262">
        <f>SUM(E10:BZ10)</f>
        <v>170</v>
      </c>
      <c r="D10" s="263"/>
      <c r="E10" s="59">
        <v>50</v>
      </c>
      <c r="F10" s="247"/>
      <c r="G10" s="249"/>
      <c r="H10" s="59">
        <v>16</v>
      </c>
      <c r="I10" s="247"/>
      <c r="J10" s="249"/>
      <c r="K10" s="60">
        <v>5</v>
      </c>
      <c r="L10" s="247"/>
      <c r="M10" s="249"/>
      <c r="N10" s="60">
        <v>2</v>
      </c>
      <c r="O10" s="247"/>
      <c r="P10" s="249"/>
      <c r="Q10" s="60">
        <v>10</v>
      </c>
      <c r="R10" s="247"/>
      <c r="S10" s="249"/>
      <c r="T10" s="60">
        <v>8</v>
      </c>
      <c r="U10" s="247"/>
      <c r="V10" s="249"/>
      <c r="W10" s="60">
        <v>8</v>
      </c>
      <c r="X10" s="247"/>
      <c r="Y10" s="249"/>
      <c r="Z10" s="60">
        <v>4</v>
      </c>
      <c r="AA10" s="247"/>
      <c r="AB10" s="249"/>
      <c r="AC10" s="60">
        <v>7</v>
      </c>
      <c r="AD10" s="247"/>
      <c r="AE10" s="249"/>
      <c r="AF10" s="60">
        <v>9</v>
      </c>
      <c r="AG10" s="247"/>
      <c r="AH10" s="249"/>
      <c r="AI10" s="60">
        <v>10</v>
      </c>
      <c r="AJ10" s="247"/>
      <c r="AK10" s="249"/>
      <c r="AL10" s="60">
        <v>2</v>
      </c>
      <c r="AM10" s="61"/>
      <c r="AN10" s="60">
        <v>1</v>
      </c>
      <c r="AO10" s="247"/>
      <c r="AP10" s="248"/>
      <c r="AQ10" s="249"/>
      <c r="AR10" s="60">
        <v>3</v>
      </c>
      <c r="AS10" s="247"/>
      <c r="AT10" s="249"/>
      <c r="AU10" s="60">
        <v>3</v>
      </c>
      <c r="AV10" s="247"/>
      <c r="AW10" s="249"/>
      <c r="AX10" s="60">
        <v>5</v>
      </c>
      <c r="AY10" s="247"/>
      <c r="AZ10" s="249"/>
      <c r="BA10" s="60">
        <v>1</v>
      </c>
      <c r="BB10" s="247"/>
      <c r="BC10" s="249"/>
      <c r="BD10" s="60">
        <v>7</v>
      </c>
      <c r="BE10" s="247"/>
      <c r="BF10" s="249"/>
      <c r="BG10" s="60">
        <v>3</v>
      </c>
      <c r="BH10" s="247"/>
      <c r="BI10" s="249"/>
      <c r="BJ10" s="60">
        <v>3</v>
      </c>
      <c r="BK10" s="247"/>
      <c r="BL10" s="249"/>
      <c r="BM10" s="60">
        <v>3</v>
      </c>
      <c r="BN10" s="247"/>
      <c r="BO10" s="249"/>
      <c r="BP10" s="60">
        <v>2</v>
      </c>
      <c r="BQ10" s="247"/>
      <c r="BR10" s="249"/>
      <c r="BS10" s="60">
        <v>4</v>
      </c>
      <c r="BT10" s="247"/>
      <c r="BU10" s="249"/>
      <c r="BV10" s="60">
        <v>2</v>
      </c>
      <c r="BW10" s="247"/>
      <c r="BX10" s="249"/>
      <c r="BY10" s="60">
        <v>2</v>
      </c>
      <c r="BZ10" s="61"/>
    </row>
    <row r="11" spans="1:78">
      <c r="A11" s="250" t="s">
        <v>250</v>
      </c>
      <c r="B11" s="251"/>
      <c r="C11" s="252">
        <f>SUM(E11:BZ11)</f>
        <v>15</v>
      </c>
      <c r="D11" s="253"/>
      <c r="E11" s="62"/>
      <c r="F11" s="63">
        <v>3</v>
      </c>
      <c r="G11" s="247"/>
      <c r="H11" s="248"/>
      <c r="I11" s="248"/>
      <c r="J11" s="248"/>
      <c r="K11" s="248"/>
      <c r="L11" s="248"/>
      <c r="M11" s="248"/>
      <c r="N11" s="248"/>
      <c r="O11" s="248"/>
      <c r="P11" s="248"/>
      <c r="Q11" s="249"/>
      <c r="R11" s="63">
        <v>2</v>
      </c>
      <c r="S11" s="247"/>
      <c r="T11" s="249"/>
      <c r="U11" s="63">
        <v>2</v>
      </c>
      <c r="V11" s="247"/>
      <c r="W11" s="248"/>
      <c r="X11" s="248"/>
      <c r="Y11" s="248"/>
      <c r="Z11" s="249"/>
      <c r="AA11" s="63">
        <v>1</v>
      </c>
      <c r="AB11" s="247"/>
      <c r="AC11" s="249"/>
      <c r="AD11" s="63">
        <v>1</v>
      </c>
      <c r="AE11" s="247"/>
      <c r="AF11" s="249"/>
      <c r="AG11" s="63">
        <v>1</v>
      </c>
      <c r="AH11" s="247"/>
      <c r="AI11" s="248"/>
      <c r="AJ11" s="248"/>
      <c r="AK11" s="248"/>
      <c r="AL11" s="248"/>
      <c r="AM11" s="248"/>
      <c r="AN11" s="248"/>
      <c r="AO11" s="248"/>
      <c r="AP11" s="248"/>
      <c r="AQ11" s="248"/>
      <c r="AR11" s="248"/>
      <c r="AS11" s="248"/>
      <c r="AT11" s="248"/>
      <c r="AU11" s="248"/>
      <c r="AV11" s="248"/>
      <c r="AW11" s="248"/>
      <c r="AX11" s="249"/>
      <c r="AY11" s="63">
        <v>1</v>
      </c>
      <c r="AZ11" s="247"/>
      <c r="BA11" s="248"/>
      <c r="BB11" s="248"/>
      <c r="BC11" s="248"/>
      <c r="BD11" s="248"/>
      <c r="BE11" s="248"/>
      <c r="BF11" s="248"/>
      <c r="BG11" s="249"/>
      <c r="BH11" s="63">
        <v>3</v>
      </c>
      <c r="BI11" s="247"/>
      <c r="BJ11" s="248"/>
      <c r="BK11" s="248"/>
      <c r="BL11" s="248"/>
      <c r="BM11" s="248"/>
      <c r="BN11" s="248"/>
      <c r="BO11" s="248"/>
      <c r="BP11" s="248"/>
      <c r="BQ11" s="248"/>
      <c r="BR11" s="248"/>
      <c r="BS11" s="248"/>
      <c r="BT11" s="248"/>
      <c r="BU11" s="248"/>
      <c r="BV11" s="248"/>
      <c r="BW11" s="248"/>
      <c r="BX11" s="248"/>
      <c r="BY11" s="249"/>
      <c r="BZ11" s="63">
        <v>1</v>
      </c>
    </row>
  </sheetData>
  <mergeCells count="94">
    <mergeCell ref="R1:R2"/>
    <mergeCell ref="A1:B2"/>
    <mergeCell ref="C1:C2"/>
    <mergeCell ref="E1:E2"/>
    <mergeCell ref="F1:F2"/>
    <mergeCell ref="H1:H2"/>
    <mergeCell ref="I1:I2"/>
    <mergeCell ref="K1:K2"/>
    <mergeCell ref="L1:L2"/>
    <mergeCell ref="N1:N2"/>
    <mergeCell ref="O1:O2"/>
    <mergeCell ref="Q1:Q2"/>
    <mergeCell ref="AF1:AF2"/>
    <mergeCell ref="AG1:AG2"/>
    <mergeCell ref="AI1:AI2"/>
    <mergeCell ref="AJ1:AJ2"/>
    <mergeCell ref="T1:T2"/>
    <mergeCell ref="U1:U2"/>
    <mergeCell ref="W1:W2"/>
    <mergeCell ref="X1:X2"/>
    <mergeCell ref="Z1:Z2"/>
    <mergeCell ref="AA1:AA2"/>
    <mergeCell ref="A4:B4"/>
    <mergeCell ref="BM1:BM2"/>
    <mergeCell ref="BN1:BN2"/>
    <mergeCell ref="BP1:BP2"/>
    <mergeCell ref="BQ1:BQ2"/>
    <mergeCell ref="BD1:BD2"/>
    <mergeCell ref="BE1:BE2"/>
    <mergeCell ref="BG1:BG2"/>
    <mergeCell ref="BH1:BH2"/>
    <mergeCell ref="BJ1:BJ2"/>
    <mergeCell ref="BK1:BK2"/>
    <mergeCell ref="AU1:AU2"/>
    <mergeCell ref="AV1:AV2"/>
    <mergeCell ref="AX1:AX2"/>
    <mergeCell ref="AY1:AY2"/>
    <mergeCell ref="BA1:BA2"/>
    <mergeCell ref="BV1:BV2"/>
    <mergeCell ref="BW1:BW2"/>
    <mergeCell ref="BY1:BY2"/>
    <mergeCell ref="BZ1:BZ2"/>
    <mergeCell ref="A3:B3"/>
    <mergeCell ref="BS1:BS2"/>
    <mergeCell ref="BT1:BT2"/>
    <mergeCell ref="BB1:BB2"/>
    <mergeCell ref="AL1:AL2"/>
    <mergeCell ref="AM1:AM2"/>
    <mergeCell ref="AO1:AO2"/>
    <mergeCell ref="AP1:AP2"/>
    <mergeCell ref="AR1:AR2"/>
    <mergeCell ref="AS1:AS2"/>
    <mergeCell ref="AC1:AC2"/>
    <mergeCell ref="AD1:AD2"/>
    <mergeCell ref="AD10:AE10"/>
    <mergeCell ref="A5:B5"/>
    <mergeCell ref="A6:B6"/>
    <mergeCell ref="A7:B7"/>
    <mergeCell ref="A8:BZ8"/>
    <mergeCell ref="A9:B9"/>
    <mergeCell ref="A10:B10"/>
    <mergeCell ref="C10:D10"/>
    <mergeCell ref="F10:G10"/>
    <mergeCell ref="I10:J10"/>
    <mergeCell ref="L10:M10"/>
    <mergeCell ref="O10:P10"/>
    <mergeCell ref="R10:S10"/>
    <mergeCell ref="U10:V10"/>
    <mergeCell ref="X10:Y10"/>
    <mergeCell ref="AA10:AB10"/>
    <mergeCell ref="BN10:BO10"/>
    <mergeCell ref="BQ10:BR10"/>
    <mergeCell ref="AG10:AH10"/>
    <mergeCell ref="AJ10:AK10"/>
    <mergeCell ref="AO10:AQ10"/>
    <mergeCell ref="AS10:AT10"/>
    <mergeCell ref="AV10:AW10"/>
    <mergeCell ref="AY10:AZ10"/>
    <mergeCell ref="AZ11:BG11"/>
    <mergeCell ref="BI11:BY11"/>
    <mergeCell ref="BT10:BU10"/>
    <mergeCell ref="BW10:BX10"/>
    <mergeCell ref="A11:B11"/>
    <mergeCell ref="C11:D11"/>
    <mergeCell ref="G11:Q11"/>
    <mergeCell ref="S11:T11"/>
    <mergeCell ref="V11:Z11"/>
    <mergeCell ref="AB11:AC11"/>
    <mergeCell ref="AE11:AF11"/>
    <mergeCell ref="AH11:AX11"/>
    <mergeCell ref="BB10:BC10"/>
    <mergeCell ref="BE10:BF10"/>
    <mergeCell ref="BH10:BI10"/>
    <mergeCell ref="BK10:BL10"/>
  </mergeCells>
  <conditionalFormatting sqref="C3:C7">
    <cfRule type="cellIs" dxfId="48" priority="1" operator="equal">
      <formula>0</formula>
    </cfRule>
  </conditionalFormatting>
  <dataValidations count="3">
    <dataValidation type="whole" operator="greaterThanOrEqual" allowBlank="1" showInputMessage="1" showErrorMessage="1" errorTitle="Solo números enteros" error="Solo números enteros" promptTitle="Solo números enteros" prompt="Solo números enteros" sqref="D3:BX7">
      <formula1>0</formula1>
    </dataValidation>
    <dataValidation type="list" allowBlank="1" showInputMessage="1" showErrorMessage="1" sqref="A3:A8 B3">
      <formula1>PersonalTC</formula1>
    </dataValidation>
    <dataValidation operator="greaterThanOrEqual" allowBlank="1" showInputMessage="1" showErrorMessage="1" sqref="C3:C7"/>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07"/>
  <sheetViews>
    <sheetView workbookViewId="0">
      <selection activeCell="W400" sqref="W400"/>
    </sheetView>
  </sheetViews>
  <sheetFormatPr baseColWidth="10" defaultRowHeight="15"/>
  <cols>
    <col min="1" max="1" width="4" bestFit="1" customWidth="1"/>
    <col min="2" max="2" width="44.140625" style="74" customWidth="1"/>
    <col min="3" max="3" width="4.85546875" style="183" hidden="1" customWidth="1"/>
    <col min="4" max="4" width="11.42578125" style="183" hidden="1" customWidth="1"/>
    <col min="5" max="9" width="11.42578125" hidden="1" customWidth="1"/>
    <col min="10" max="10" width="13" customWidth="1"/>
    <col min="11" max="11" width="15.28515625" hidden="1" customWidth="1"/>
    <col min="12" max="12" width="9.85546875" customWidth="1"/>
    <col min="13" max="13" width="8" customWidth="1"/>
    <col min="14" max="14" width="11.5703125" customWidth="1"/>
    <col min="15" max="15" width="9.85546875" customWidth="1"/>
    <col min="16" max="37" width="11.5703125" customWidth="1"/>
    <col min="38" max="38" width="13" bestFit="1" customWidth="1"/>
  </cols>
  <sheetData>
    <row r="1" spans="1:38" ht="67.5">
      <c r="A1" s="160" t="s">
        <v>51</v>
      </c>
      <c r="B1" s="187" t="s">
        <v>52</v>
      </c>
      <c r="C1" s="176" t="s">
        <v>53</v>
      </c>
      <c r="D1" s="184" t="s">
        <v>54</v>
      </c>
      <c r="E1" s="162" t="s">
        <v>570</v>
      </c>
      <c r="F1" s="161" t="s">
        <v>571</v>
      </c>
      <c r="G1" s="161" t="s">
        <v>572</v>
      </c>
      <c r="H1" s="161" t="s">
        <v>573</v>
      </c>
      <c r="I1" s="161" t="s">
        <v>2</v>
      </c>
      <c r="J1" s="161" t="s">
        <v>3</v>
      </c>
      <c r="K1" s="161" t="s">
        <v>12</v>
      </c>
      <c r="L1" s="197" t="s">
        <v>192</v>
      </c>
      <c r="M1" s="197" t="s">
        <v>195</v>
      </c>
      <c r="N1" s="197" t="s">
        <v>197</v>
      </c>
      <c r="O1" s="197" t="s">
        <v>199</v>
      </c>
      <c r="P1" s="197" t="s">
        <v>201</v>
      </c>
      <c r="Q1" s="197" t="s">
        <v>203</v>
      </c>
      <c r="R1" s="197" t="s">
        <v>205</v>
      </c>
      <c r="S1" s="197" t="s">
        <v>207</v>
      </c>
      <c r="T1" s="197" t="s">
        <v>209</v>
      </c>
      <c r="U1" s="197" t="s">
        <v>211</v>
      </c>
      <c r="V1" s="197" t="s">
        <v>213</v>
      </c>
      <c r="W1" s="197" t="s">
        <v>215</v>
      </c>
      <c r="X1" s="197" t="s">
        <v>217</v>
      </c>
      <c r="Y1" s="197" t="s">
        <v>219</v>
      </c>
      <c r="Z1" s="197" t="s">
        <v>221</v>
      </c>
      <c r="AA1" s="197" t="s">
        <v>223</v>
      </c>
      <c r="AB1" s="197" t="s">
        <v>225</v>
      </c>
      <c r="AC1" s="197" t="s">
        <v>227</v>
      </c>
      <c r="AD1" s="197" t="s">
        <v>229</v>
      </c>
      <c r="AE1" s="197" t="s">
        <v>231</v>
      </c>
      <c r="AF1" s="197" t="s">
        <v>233</v>
      </c>
      <c r="AG1" s="197" t="s">
        <v>235</v>
      </c>
      <c r="AH1" s="197" t="s">
        <v>237</v>
      </c>
      <c r="AI1" s="197" t="s">
        <v>239</v>
      </c>
      <c r="AJ1" s="197" t="s">
        <v>241</v>
      </c>
      <c r="AK1" s="161" t="s">
        <v>1373</v>
      </c>
      <c r="AL1" s="161" t="s">
        <v>1374</v>
      </c>
    </row>
    <row r="2" spans="1:38">
      <c r="A2" s="163">
        <v>0</v>
      </c>
      <c r="B2" s="182" t="s">
        <v>574</v>
      </c>
      <c r="C2" s="177" t="s">
        <v>575</v>
      </c>
      <c r="D2" s="185" t="s">
        <v>576</v>
      </c>
      <c r="E2" s="164">
        <v>0</v>
      </c>
      <c r="F2" s="165">
        <v>0</v>
      </c>
      <c r="G2" s="165">
        <v>0</v>
      </c>
      <c r="H2" s="166">
        <v>0</v>
      </c>
      <c r="I2" s="167"/>
      <c r="J2" s="165">
        <v>0</v>
      </c>
      <c r="K2" s="168">
        <v>0</v>
      </c>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row>
    <row r="3" spans="1:38">
      <c r="A3" s="163">
        <v>1</v>
      </c>
      <c r="B3" s="182" t="s">
        <v>577</v>
      </c>
      <c r="C3" s="177" t="s">
        <v>578</v>
      </c>
      <c r="D3" s="185" t="s">
        <v>579</v>
      </c>
      <c r="E3" s="164">
        <v>122</v>
      </c>
      <c r="F3" s="165">
        <v>17470</v>
      </c>
      <c r="G3" s="165">
        <v>10106</v>
      </c>
      <c r="H3" s="166">
        <v>0.25</v>
      </c>
      <c r="I3" s="167">
        <v>0.56614195764167141</v>
      </c>
      <c r="J3" s="165">
        <v>7579.5</v>
      </c>
      <c r="K3" s="168">
        <v>924699</v>
      </c>
      <c r="L3" s="71">
        <v>45</v>
      </c>
      <c r="M3" s="77">
        <v>3</v>
      </c>
      <c r="N3" s="91">
        <v>3</v>
      </c>
      <c r="O3" s="71"/>
      <c r="P3" s="71">
        <v>3</v>
      </c>
      <c r="Q3" s="71">
        <v>3</v>
      </c>
      <c r="R3" s="71">
        <v>3</v>
      </c>
      <c r="S3" s="71">
        <v>3</v>
      </c>
      <c r="T3" s="71">
        <v>3</v>
      </c>
      <c r="U3" s="71">
        <v>3</v>
      </c>
      <c r="V3" s="71">
        <v>3</v>
      </c>
      <c r="W3" s="71">
        <v>3</v>
      </c>
      <c r="X3" s="71">
        <v>3</v>
      </c>
      <c r="Y3" s="71">
        <v>3</v>
      </c>
      <c r="Z3" s="71">
        <v>3</v>
      </c>
      <c r="AA3" s="71">
        <v>3</v>
      </c>
      <c r="AB3" s="71">
        <v>3</v>
      </c>
      <c r="AC3" s="71">
        <v>4</v>
      </c>
      <c r="AD3" s="71"/>
      <c r="AE3" s="71">
        <v>3</v>
      </c>
      <c r="AF3" s="71">
        <v>12</v>
      </c>
      <c r="AG3" s="94">
        <v>2</v>
      </c>
      <c r="AH3" s="71">
        <v>3</v>
      </c>
      <c r="AI3" s="71">
        <v>6</v>
      </c>
      <c r="AJ3" s="71"/>
      <c r="AK3" s="71">
        <f>SUBTOTAL(9,L3:AJ3)</f>
        <v>120</v>
      </c>
      <c r="AL3" s="79">
        <f>+J3*AK3</f>
        <v>909540</v>
      </c>
    </row>
    <row r="4" spans="1:38">
      <c r="A4" s="163">
        <v>2</v>
      </c>
      <c r="B4" s="182" t="s">
        <v>580</v>
      </c>
      <c r="C4" s="177" t="s">
        <v>581</v>
      </c>
      <c r="D4" s="185" t="s">
        <v>582</v>
      </c>
      <c r="E4" s="164">
        <v>0</v>
      </c>
      <c r="F4" s="165">
        <v>0</v>
      </c>
      <c r="G4" s="165">
        <v>0</v>
      </c>
      <c r="H4" s="166">
        <v>0</v>
      </c>
      <c r="I4" s="167">
        <v>0</v>
      </c>
      <c r="J4" s="165">
        <v>0</v>
      </c>
      <c r="K4" s="168">
        <v>0</v>
      </c>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row>
    <row r="5" spans="1:38">
      <c r="A5" s="163">
        <v>3</v>
      </c>
      <c r="B5" s="182" t="s">
        <v>583</v>
      </c>
      <c r="C5" s="177" t="s">
        <v>584</v>
      </c>
      <c r="D5" s="185" t="s">
        <v>585</v>
      </c>
      <c r="E5" s="164">
        <v>0</v>
      </c>
      <c r="F5" s="165">
        <v>0</v>
      </c>
      <c r="G5" s="165">
        <v>0</v>
      </c>
      <c r="H5" s="166">
        <v>0</v>
      </c>
      <c r="I5" s="167">
        <v>0</v>
      </c>
      <c r="J5" s="165">
        <v>0</v>
      </c>
      <c r="K5" s="168">
        <v>0</v>
      </c>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row>
    <row r="6" spans="1:38">
      <c r="A6" s="163">
        <v>4</v>
      </c>
      <c r="B6" s="182" t="s">
        <v>586</v>
      </c>
      <c r="C6" s="177" t="s">
        <v>587</v>
      </c>
      <c r="D6" s="185" t="s">
        <v>588</v>
      </c>
      <c r="E6" s="164">
        <v>0</v>
      </c>
      <c r="F6" s="165">
        <v>0</v>
      </c>
      <c r="G6" s="165">
        <v>0</v>
      </c>
      <c r="H6" s="166">
        <v>0</v>
      </c>
      <c r="I6" s="167">
        <v>0</v>
      </c>
      <c r="J6" s="165">
        <v>0</v>
      </c>
      <c r="K6" s="168">
        <v>0</v>
      </c>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row>
    <row r="7" spans="1:38">
      <c r="A7" s="163">
        <v>5</v>
      </c>
      <c r="B7" s="182" t="s">
        <v>589</v>
      </c>
      <c r="C7" s="177" t="s">
        <v>590</v>
      </c>
      <c r="D7" s="185" t="s">
        <v>591</v>
      </c>
      <c r="E7" s="164">
        <v>109</v>
      </c>
      <c r="F7" s="165">
        <v>4380</v>
      </c>
      <c r="G7" s="165">
        <v>2017</v>
      </c>
      <c r="H7" s="166">
        <v>0.25</v>
      </c>
      <c r="I7" s="167">
        <v>0.6546232876712329</v>
      </c>
      <c r="J7" s="165">
        <v>1512.75</v>
      </c>
      <c r="K7" s="168">
        <v>164889.75</v>
      </c>
      <c r="L7" s="71">
        <v>10</v>
      </c>
      <c r="M7" s="77">
        <v>3</v>
      </c>
      <c r="N7" s="91">
        <v>3</v>
      </c>
      <c r="O7" s="71"/>
      <c r="P7" s="71">
        <v>3</v>
      </c>
      <c r="Q7" s="71">
        <v>3</v>
      </c>
      <c r="R7" s="71">
        <v>3</v>
      </c>
      <c r="S7" s="71">
        <v>3</v>
      </c>
      <c r="T7" s="71">
        <v>3</v>
      </c>
      <c r="U7" s="71">
        <v>3</v>
      </c>
      <c r="V7" s="71">
        <v>3</v>
      </c>
      <c r="W7" s="71">
        <v>3</v>
      </c>
      <c r="X7" s="71">
        <v>3</v>
      </c>
      <c r="Y7" s="71">
        <v>3</v>
      </c>
      <c r="Z7" s="71">
        <v>3</v>
      </c>
      <c r="AA7" s="71">
        <v>3</v>
      </c>
      <c r="AB7" s="71">
        <v>3</v>
      </c>
      <c r="AC7" s="71"/>
      <c r="AD7" s="71"/>
      <c r="AE7" s="71">
        <v>5</v>
      </c>
      <c r="AF7" s="71">
        <v>13</v>
      </c>
      <c r="AG7" s="94"/>
      <c r="AH7" s="71">
        <v>3</v>
      </c>
      <c r="AI7" s="71">
        <v>6</v>
      </c>
      <c r="AJ7" s="71">
        <v>3</v>
      </c>
      <c r="AK7" s="71">
        <f>SUBTOTAL(9,L7:AJ7)</f>
        <v>85</v>
      </c>
      <c r="AL7" s="79">
        <f>+J7*AK7</f>
        <v>128583.75</v>
      </c>
    </row>
    <row r="8" spans="1:38">
      <c r="A8" s="163">
        <v>6</v>
      </c>
      <c r="B8" s="182" t="s">
        <v>592</v>
      </c>
      <c r="C8" s="177" t="s">
        <v>593</v>
      </c>
      <c r="D8" s="185" t="s">
        <v>591</v>
      </c>
      <c r="E8" s="164">
        <v>0</v>
      </c>
      <c r="F8" s="165">
        <v>0</v>
      </c>
      <c r="G8" s="165">
        <v>0</v>
      </c>
      <c r="H8" s="166">
        <v>0</v>
      </c>
      <c r="I8" s="167">
        <v>0</v>
      </c>
      <c r="J8" s="165">
        <v>0</v>
      </c>
      <c r="K8" s="168">
        <v>0</v>
      </c>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row>
    <row r="9" spans="1:38">
      <c r="A9" s="163">
        <v>7</v>
      </c>
      <c r="B9" s="182" t="s">
        <v>594</v>
      </c>
      <c r="C9" s="177" t="s">
        <v>595</v>
      </c>
      <c r="D9" s="185" t="s">
        <v>596</v>
      </c>
      <c r="E9" s="164">
        <v>88</v>
      </c>
      <c r="F9" s="165">
        <v>4640</v>
      </c>
      <c r="G9" s="165">
        <v>2754</v>
      </c>
      <c r="H9" s="166">
        <v>0.25</v>
      </c>
      <c r="I9" s="167">
        <v>0.55484913793103452</v>
      </c>
      <c r="J9" s="165">
        <v>2065.5</v>
      </c>
      <c r="K9" s="168">
        <v>181764</v>
      </c>
      <c r="L9" s="71">
        <v>5</v>
      </c>
      <c r="M9" s="77">
        <v>3</v>
      </c>
      <c r="N9" s="91">
        <v>3</v>
      </c>
      <c r="O9" s="71"/>
      <c r="P9" s="71">
        <v>3</v>
      </c>
      <c r="Q9" s="71">
        <v>3</v>
      </c>
      <c r="R9" s="71">
        <v>3</v>
      </c>
      <c r="S9" s="71">
        <v>3</v>
      </c>
      <c r="T9" s="71">
        <v>3</v>
      </c>
      <c r="U9" s="71">
        <v>3</v>
      </c>
      <c r="V9" s="71">
        <v>3</v>
      </c>
      <c r="W9" s="71">
        <v>3</v>
      </c>
      <c r="X9" s="71">
        <v>3</v>
      </c>
      <c r="Y9" s="71">
        <v>3</v>
      </c>
      <c r="Z9" s="71">
        <v>3</v>
      </c>
      <c r="AA9" s="71">
        <v>3</v>
      </c>
      <c r="AB9" s="71">
        <v>3</v>
      </c>
      <c r="AC9" s="71"/>
      <c r="AD9" s="71"/>
      <c r="AE9" s="71"/>
      <c r="AF9" s="71">
        <v>4</v>
      </c>
      <c r="AG9" s="94"/>
      <c r="AH9" s="71"/>
      <c r="AI9" s="71"/>
      <c r="AJ9" s="71"/>
      <c r="AK9" s="71">
        <f>SUBTOTAL(9,L9:AJ9)</f>
        <v>54</v>
      </c>
      <c r="AL9" s="79">
        <f>+J9*AK9</f>
        <v>111537</v>
      </c>
    </row>
    <row r="10" spans="1:38">
      <c r="A10" s="163">
        <v>8</v>
      </c>
      <c r="B10" s="182" t="s">
        <v>597</v>
      </c>
      <c r="C10" s="177" t="s">
        <v>598</v>
      </c>
      <c r="D10" s="185" t="s">
        <v>599</v>
      </c>
      <c r="E10" s="164">
        <v>0</v>
      </c>
      <c r="F10" s="165">
        <v>0</v>
      </c>
      <c r="G10" s="165">
        <v>0</v>
      </c>
      <c r="H10" s="166">
        <v>0</v>
      </c>
      <c r="I10" s="167">
        <v>0</v>
      </c>
      <c r="J10" s="165">
        <v>0</v>
      </c>
      <c r="K10" s="168">
        <v>0</v>
      </c>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row>
    <row r="11" spans="1:38">
      <c r="A11" s="163">
        <v>9</v>
      </c>
      <c r="B11" s="182" t="s">
        <v>600</v>
      </c>
      <c r="C11" s="177" t="s">
        <v>601</v>
      </c>
      <c r="D11" s="185" t="s">
        <v>602</v>
      </c>
      <c r="E11" s="164">
        <v>0</v>
      </c>
      <c r="F11" s="165">
        <v>0</v>
      </c>
      <c r="G11" s="165">
        <v>0</v>
      </c>
      <c r="H11" s="166">
        <v>0</v>
      </c>
      <c r="I11" s="167">
        <v>0</v>
      </c>
      <c r="J11" s="165">
        <v>0</v>
      </c>
      <c r="K11" s="168">
        <v>0</v>
      </c>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row>
    <row r="12" spans="1:38">
      <c r="A12" s="163">
        <v>10</v>
      </c>
      <c r="B12" s="182" t="s">
        <v>603</v>
      </c>
      <c r="C12" s="177" t="s">
        <v>604</v>
      </c>
      <c r="D12" s="185" t="s">
        <v>605</v>
      </c>
      <c r="E12" s="164">
        <v>0</v>
      </c>
      <c r="F12" s="165">
        <v>0</v>
      </c>
      <c r="G12" s="165">
        <v>0</v>
      </c>
      <c r="H12" s="166">
        <v>0</v>
      </c>
      <c r="I12" s="167">
        <v>0</v>
      </c>
      <c r="J12" s="165">
        <v>0</v>
      </c>
      <c r="K12" s="168">
        <v>0</v>
      </c>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row>
    <row r="13" spans="1:38">
      <c r="A13" s="163">
        <v>11</v>
      </c>
      <c r="B13" s="182" t="s">
        <v>606</v>
      </c>
      <c r="C13" s="177" t="s">
        <v>607</v>
      </c>
      <c r="D13" s="185" t="s">
        <v>579</v>
      </c>
      <c r="E13" s="164">
        <v>147</v>
      </c>
      <c r="F13" s="165">
        <v>13172</v>
      </c>
      <c r="G13" s="165">
        <v>1608</v>
      </c>
      <c r="H13" s="166">
        <v>0.25</v>
      </c>
      <c r="I13" s="167">
        <v>0.90844215001518369</v>
      </c>
      <c r="J13" s="165">
        <v>1206</v>
      </c>
      <c r="K13" s="168">
        <v>177282</v>
      </c>
      <c r="L13" s="71">
        <v>50</v>
      </c>
      <c r="M13" s="71">
        <v>3</v>
      </c>
      <c r="N13" s="91">
        <v>3</v>
      </c>
      <c r="O13" s="71"/>
      <c r="P13" s="71">
        <v>3</v>
      </c>
      <c r="Q13" s="71">
        <v>3</v>
      </c>
      <c r="R13" s="71">
        <v>3</v>
      </c>
      <c r="S13" s="71">
        <v>3</v>
      </c>
      <c r="T13" s="71">
        <v>3</v>
      </c>
      <c r="U13" s="71">
        <v>3</v>
      </c>
      <c r="V13" s="71">
        <v>3</v>
      </c>
      <c r="W13" s="71">
        <v>3</v>
      </c>
      <c r="X13" s="71">
        <v>3</v>
      </c>
      <c r="Y13" s="71">
        <v>3</v>
      </c>
      <c r="Z13" s="71">
        <v>3</v>
      </c>
      <c r="AA13" s="71">
        <v>3</v>
      </c>
      <c r="AB13" s="71">
        <v>3</v>
      </c>
      <c r="AC13" s="71"/>
      <c r="AD13" s="71">
        <v>5</v>
      </c>
      <c r="AE13" s="71">
        <v>4</v>
      </c>
      <c r="AF13" s="71">
        <v>12</v>
      </c>
      <c r="AG13" s="94"/>
      <c r="AH13" s="71">
        <v>2</v>
      </c>
      <c r="AI13" s="71">
        <v>5</v>
      </c>
      <c r="AJ13" s="71"/>
      <c r="AK13" s="71">
        <f>SUBTOTAL(9,L13:AJ13)</f>
        <v>123</v>
      </c>
      <c r="AL13" s="79">
        <f>+J13*AK13</f>
        <v>148338</v>
      </c>
    </row>
    <row r="14" spans="1:38">
      <c r="A14" s="163">
        <v>12</v>
      </c>
      <c r="B14" s="182" t="s">
        <v>608</v>
      </c>
      <c r="C14" s="178" t="s">
        <v>609</v>
      </c>
      <c r="D14" s="185" t="s">
        <v>579</v>
      </c>
      <c r="E14" s="164">
        <v>0</v>
      </c>
      <c r="F14" s="165">
        <v>0</v>
      </c>
      <c r="G14" s="165">
        <v>0</v>
      </c>
      <c r="H14" s="166">
        <v>0</v>
      </c>
      <c r="I14" s="167">
        <v>0</v>
      </c>
      <c r="J14" s="165">
        <v>0</v>
      </c>
      <c r="K14" s="168">
        <v>0</v>
      </c>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row>
    <row r="15" spans="1:38">
      <c r="A15" s="163">
        <v>13</v>
      </c>
      <c r="B15" s="182" t="s">
        <v>610</v>
      </c>
      <c r="C15" s="177" t="s">
        <v>611</v>
      </c>
      <c r="D15" s="185" t="s">
        <v>612</v>
      </c>
      <c r="E15" s="164">
        <v>0</v>
      </c>
      <c r="F15" s="165">
        <v>0</v>
      </c>
      <c r="G15" s="165">
        <v>0</v>
      </c>
      <c r="H15" s="166">
        <v>0</v>
      </c>
      <c r="I15" s="167">
        <v>0</v>
      </c>
      <c r="J15" s="165">
        <v>0</v>
      </c>
      <c r="K15" s="168">
        <v>0</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1:38">
      <c r="A16" s="163">
        <v>14</v>
      </c>
      <c r="B16" s="182" t="s">
        <v>613</v>
      </c>
      <c r="C16" s="177" t="s">
        <v>614</v>
      </c>
      <c r="D16" s="185" t="s">
        <v>615</v>
      </c>
      <c r="E16" s="164">
        <v>0</v>
      </c>
      <c r="F16" s="165">
        <v>0</v>
      </c>
      <c r="G16" s="165">
        <v>0</v>
      </c>
      <c r="H16" s="166">
        <v>0</v>
      </c>
      <c r="I16" s="167">
        <v>0</v>
      </c>
      <c r="J16" s="165">
        <v>0</v>
      </c>
      <c r="K16" s="168">
        <v>0</v>
      </c>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1:38">
      <c r="A17" s="163">
        <v>15</v>
      </c>
      <c r="B17" s="182" t="s">
        <v>616</v>
      </c>
      <c r="C17" s="177" t="s">
        <v>617</v>
      </c>
      <c r="D17" s="185" t="s">
        <v>618</v>
      </c>
      <c r="E17" s="164">
        <v>149</v>
      </c>
      <c r="F17" s="165">
        <v>12925</v>
      </c>
      <c r="G17" s="165">
        <v>5869</v>
      </c>
      <c r="H17" s="166">
        <v>0.25</v>
      </c>
      <c r="I17" s="167">
        <v>0.65943907156673109</v>
      </c>
      <c r="J17" s="165">
        <v>4401.75</v>
      </c>
      <c r="K17" s="168">
        <v>655860.75</v>
      </c>
      <c r="L17" s="71">
        <v>18</v>
      </c>
      <c r="M17" s="71">
        <v>8</v>
      </c>
      <c r="N17" s="91">
        <v>8</v>
      </c>
      <c r="O17" s="71"/>
      <c r="P17" s="71">
        <v>8</v>
      </c>
      <c r="Q17" s="71">
        <v>8</v>
      </c>
      <c r="R17" s="71">
        <v>8</v>
      </c>
      <c r="S17" s="71">
        <v>8</v>
      </c>
      <c r="T17" s="71"/>
      <c r="U17" s="71">
        <v>8</v>
      </c>
      <c r="V17" s="71">
        <v>8</v>
      </c>
      <c r="W17" s="71">
        <v>8</v>
      </c>
      <c r="X17" s="71">
        <v>4</v>
      </c>
      <c r="Y17" s="71">
        <v>4</v>
      </c>
      <c r="Z17" s="71">
        <v>4</v>
      </c>
      <c r="AA17" s="71">
        <v>8</v>
      </c>
      <c r="AB17" s="71">
        <v>4</v>
      </c>
      <c r="AC17" s="71">
        <v>2</v>
      </c>
      <c r="AD17" s="71"/>
      <c r="AE17" s="71">
        <v>4</v>
      </c>
      <c r="AF17" s="71">
        <v>10</v>
      </c>
      <c r="AG17" s="94"/>
      <c r="AH17" s="71">
        <v>3</v>
      </c>
      <c r="AI17" s="71">
        <v>7</v>
      </c>
      <c r="AJ17" s="71"/>
      <c r="AK17" s="71">
        <f>SUBTOTAL(9,L17:AJ17)</f>
        <v>140</v>
      </c>
      <c r="AL17" s="79">
        <f>+J17*AK17</f>
        <v>616245</v>
      </c>
    </row>
    <row r="18" spans="1:38">
      <c r="A18" s="163">
        <v>16</v>
      </c>
      <c r="B18" s="182" t="s">
        <v>619</v>
      </c>
      <c r="C18" s="177" t="s">
        <v>620</v>
      </c>
      <c r="D18" s="185" t="s">
        <v>621</v>
      </c>
      <c r="E18" s="164">
        <v>0</v>
      </c>
      <c r="F18" s="165">
        <v>0</v>
      </c>
      <c r="G18" s="165">
        <v>0</v>
      </c>
      <c r="H18" s="166">
        <v>0</v>
      </c>
      <c r="I18" s="167">
        <v>0</v>
      </c>
      <c r="J18" s="165">
        <v>0</v>
      </c>
      <c r="K18" s="168">
        <v>0</v>
      </c>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row>
    <row r="19" spans="1:38">
      <c r="A19" s="163">
        <v>17</v>
      </c>
      <c r="B19" s="182" t="s">
        <v>622</v>
      </c>
      <c r="C19" s="177" t="s">
        <v>620</v>
      </c>
      <c r="D19" s="185" t="s">
        <v>623</v>
      </c>
      <c r="E19" s="164">
        <v>0</v>
      </c>
      <c r="F19" s="165">
        <v>0</v>
      </c>
      <c r="G19" s="165">
        <v>0</v>
      </c>
      <c r="H19" s="166">
        <v>0</v>
      </c>
      <c r="I19" s="167">
        <v>0</v>
      </c>
      <c r="J19" s="165">
        <v>0</v>
      </c>
      <c r="K19" s="168">
        <v>0</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1:38">
      <c r="A20" s="163">
        <v>18</v>
      </c>
      <c r="B20" s="182" t="s">
        <v>624</v>
      </c>
      <c r="C20" s="178" t="s">
        <v>625</v>
      </c>
      <c r="D20" s="185" t="s">
        <v>626</v>
      </c>
      <c r="E20" s="164">
        <v>0</v>
      </c>
      <c r="F20" s="165">
        <v>0</v>
      </c>
      <c r="G20" s="165">
        <v>0</v>
      </c>
      <c r="H20" s="166">
        <v>0</v>
      </c>
      <c r="I20" s="167">
        <v>0</v>
      </c>
      <c r="J20" s="165">
        <v>0</v>
      </c>
      <c r="K20" s="168">
        <v>0</v>
      </c>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1" spans="1:38">
      <c r="A21" s="163">
        <v>19</v>
      </c>
      <c r="B21" s="182" t="s">
        <v>627</v>
      </c>
      <c r="C21" s="178" t="s">
        <v>628</v>
      </c>
      <c r="D21" s="185" t="s">
        <v>579</v>
      </c>
      <c r="E21" s="164">
        <v>134</v>
      </c>
      <c r="F21" s="165">
        <v>9398</v>
      </c>
      <c r="G21" s="165">
        <v>7491</v>
      </c>
      <c r="H21" s="166">
        <v>0.25</v>
      </c>
      <c r="I21" s="167">
        <v>0.40218663545435196</v>
      </c>
      <c r="J21" s="165">
        <v>5618.25</v>
      </c>
      <c r="K21" s="168">
        <v>752845.5</v>
      </c>
      <c r="L21" s="71">
        <v>45</v>
      </c>
      <c r="M21" s="71">
        <v>3</v>
      </c>
      <c r="N21" s="91">
        <v>3</v>
      </c>
      <c r="O21" s="71"/>
      <c r="P21" s="71">
        <v>3</v>
      </c>
      <c r="Q21" s="71">
        <v>3</v>
      </c>
      <c r="R21" s="71">
        <v>3</v>
      </c>
      <c r="S21" s="71">
        <v>3</v>
      </c>
      <c r="T21" s="71">
        <v>3</v>
      </c>
      <c r="U21" s="71">
        <v>3</v>
      </c>
      <c r="V21" s="71">
        <v>3</v>
      </c>
      <c r="W21" s="71"/>
      <c r="X21" s="71">
        <v>3</v>
      </c>
      <c r="Y21" s="71">
        <v>3</v>
      </c>
      <c r="Z21" s="71">
        <v>3</v>
      </c>
      <c r="AA21" s="71">
        <v>3</v>
      </c>
      <c r="AB21" s="71">
        <v>3</v>
      </c>
      <c r="AC21" s="71">
        <v>5</v>
      </c>
      <c r="AD21" s="71">
        <v>5</v>
      </c>
      <c r="AE21" s="71">
        <v>3</v>
      </c>
      <c r="AF21" s="71">
        <v>8</v>
      </c>
      <c r="AG21" s="94"/>
      <c r="AH21" s="71">
        <v>2</v>
      </c>
      <c r="AI21" s="71">
        <v>3</v>
      </c>
      <c r="AJ21" s="71"/>
      <c r="AK21" s="71">
        <f>SUBTOTAL(9,L21:AJ21)</f>
        <v>113</v>
      </c>
      <c r="AL21" s="79">
        <f>+J21*AK21</f>
        <v>634862.25</v>
      </c>
    </row>
    <row r="22" spans="1:38">
      <c r="A22" s="163">
        <v>20</v>
      </c>
      <c r="B22" s="182" t="s">
        <v>629</v>
      </c>
      <c r="C22" s="177" t="s">
        <v>630</v>
      </c>
      <c r="D22" s="185" t="s">
        <v>631</v>
      </c>
      <c r="E22" s="164">
        <v>0</v>
      </c>
      <c r="F22" s="165">
        <v>0</v>
      </c>
      <c r="G22" s="165">
        <v>0</v>
      </c>
      <c r="H22" s="166">
        <v>0</v>
      </c>
      <c r="I22" s="167">
        <v>0</v>
      </c>
      <c r="J22" s="165">
        <v>0</v>
      </c>
      <c r="K22" s="168">
        <v>0</v>
      </c>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row>
    <row r="23" spans="1:38">
      <c r="A23" s="163">
        <v>21</v>
      </c>
      <c r="B23" s="182" t="s">
        <v>632</v>
      </c>
      <c r="C23" s="177" t="s">
        <v>633</v>
      </c>
      <c r="D23" s="185" t="s">
        <v>634</v>
      </c>
      <c r="E23" s="164">
        <v>75</v>
      </c>
      <c r="F23" s="165">
        <v>5062</v>
      </c>
      <c r="G23" s="165">
        <v>4573</v>
      </c>
      <c r="H23" s="166">
        <v>0.25</v>
      </c>
      <c r="I23" s="167">
        <v>0.32245160015804031</v>
      </c>
      <c r="J23" s="165">
        <v>3429.75</v>
      </c>
      <c r="K23" s="168">
        <v>257231.25</v>
      </c>
      <c r="L23" s="71">
        <v>5</v>
      </c>
      <c r="M23" s="71">
        <v>3</v>
      </c>
      <c r="N23" s="91">
        <v>3</v>
      </c>
      <c r="O23" s="71"/>
      <c r="P23" s="71">
        <v>3</v>
      </c>
      <c r="Q23" s="71">
        <v>3</v>
      </c>
      <c r="R23" s="71">
        <v>3</v>
      </c>
      <c r="S23" s="71">
        <v>3</v>
      </c>
      <c r="T23" s="71">
        <v>3</v>
      </c>
      <c r="U23" s="71">
        <v>3</v>
      </c>
      <c r="V23" s="71">
        <v>3</v>
      </c>
      <c r="W23" s="71">
        <v>3</v>
      </c>
      <c r="X23" s="71">
        <v>3</v>
      </c>
      <c r="Y23" s="71">
        <v>3</v>
      </c>
      <c r="Z23" s="71">
        <v>3</v>
      </c>
      <c r="AA23" s="71">
        <v>3</v>
      </c>
      <c r="AB23" s="71">
        <v>3</v>
      </c>
      <c r="AC23" s="71">
        <v>5</v>
      </c>
      <c r="AD23" s="71"/>
      <c r="AE23" s="71">
        <v>2</v>
      </c>
      <c r="AF23" s="71">
        <v>6</v>
      </c>
      <c r="AG23" s="94"/>
      <c r="AH23" s="71">
        <v>3</v>
      </c>
      <c r="AI23" s="71"/>
      <c r="AJ23" s="71"/>
      <c r="AK23" s="71">
        <f>SUBTOTAL(9,L23:AJ23)</f>
        <v>66</v>
      </c>
      <c r="AL23" s="79">
        <f>+J23*AK23</f>
        <v>226363.5</v>
      </c>
    </row>
    <row r="24" spans="1:38">
      <c r="A24" s="163">
        <v>22</v>
      </c>
      <c r="B24" s="182" t="s">
        <v>635</v>
      </c>
      <c r="C24" s="177" t="s">
        <v>636</v>
      </c>
      <c r="D24" s="185" t="s">
        <v>579</v>
      </c>
      <c r="E24" s="164">
        <v>0</v>
      </c>
      <c r="F24" s="165">
        <v>0</v>
      </c>
      <c r="G24" s="165">
        <v>0</v>
      </c>
      <c r="H24" s="166">
        <v>0</v>
      </c>
      <c r="I24" s="167">
        <v>0</v>
      </c>
      <c r="J24" s="165">
        <v>0</v>
      </c>
      <c r="K24" s="168">
        <v>0</v>
      </c>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row>
    <row r="25" spans="1:38">
      <c r="A25" s="163">
        <v>23</v>
      </c>
      <c r="B25" s="182" t="s">
        <v>637</v>
      </c>
      <c r="C25" s="177" t="s">
        <v>636</v>
      </c>
      <c r="D25" s="185" t="s">
        <v>638</v>
      </c>
      <c r="E25" s="164">
        <v>0</v>
      </c>
      <c r="F25" s="165">
        <v>0</v>
      </c>
      <c r="G25" s="165">
        <v>0</v>
      </c>
      <c r="H25" s="166">
        <v>0</v>
      </c>
      <c r="I25" s="167">
        <v>0</v>
      </c>
      <c r="J25" s="165">
        <v>0</v>
      </c>
      <c r="K25" s="168">
        <v>0</v>
      </c>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1:38">
      <c r="A26" s="163">
        <v>24</v>
      </c>
      <c r="B26" s="182" t="s">
        <v>639</v>
      </c>
      <c r="C26" s="177" t="s">
        <v>636</v>
      </c>
      <c r="D26" s="185" t="s">
        <v>640</v>
      </c>
      <c r="E26" s="164">
        <v>0</v>
      </c>
      <c r="F26" s="165">
        <v>0</v>
      </c>
      <c r="G26" s="165">
        <v>0</v>
      </c>
      <c r="H26" s="166">
        <v>0</v>
      </c>
      <c r="I26" s="167">
        <v>0</v>
      </c>
      <c r="J26" s="165">
        <v>0</v>
      </c>
      <c r="K26" s="168">
        <v>0</v>
      </c>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row>
    <row r="27" spans="1:38">
      <c r="A27" s="163">
        <v>25</v>
      </c>
      <c r="B27" s="182" t="s">
        <v>641</v>
      </c>
      <c r="C27" s="177" t="s">
        <v>642</v>
      </c>
      <c r="D27" s="185" t="s">
        <v>643</v>
      </c>
      <c r="E27" s="164">
        <v>122</v>
      </c>
      <c r="F27" s="165">
        <v>11757</v>
      </c>
      <c r="G27" s="165">
        <v>5362</v>
      </c>
      <c r="H27" s="166">
        <v>0.25</v>
      </c>
      <c r="I27" s="167">
        <v>0.65794845623883647</v>
      </c>
      <c r="J27" s="165">
        <v>4021.5</v>
      </c>
      <c r="K27" s="168">
        <v>490623</v>
      </c>
      <c r="L27" s="94">
        <v>45</v>
      </c>
      <c r="M27" s="94">
        <v>8</v>
      </c>
      <c r="N27" s="191">
        <v>8</v>
      </c>
      <c r="O27" s="71"/>
      <c r="P27" s="77">
        <v>8</v>
      </c>
      <c r="Q27" s="94">
        <v>8</v>
      </c>
      <c r="R27" s="94">
        <v>8</v>
      </c>
      <c r="S27" s="94">
        <v>8</v>
      </c>
      <c r="T27" s="94">
        <v>8</v>
      </c>
      <c r="U27" s="94">
        <v>8</v>
      </c>
      <c r="V27" s="94">
        <v>8</v>
      </c>
      <c r="W27" s="94">
        <v>8</v>
      </c>
      <c r="X27" s="94">
        <v>4</v>
      </c>
      <c r="Y27" s="94">
        <v>4</v>
      </c>
      <c r="Z27" s="94">
        <v>4</v>
      </c>
      <c r="AA27" s="94">
        <v>8</v>
      </c>
      <c r="AB27" s="94">
        <v>4</v>
      </c>
      <c r="AC27" s="94">
        <v>2</v>
      </c>
      <c r="AD27" s="71"/>
      <c r="AE27" s="94">
        <v>4</v>
      </c>
      <c r="AF27" s="94">
        <v>6</v>
      </c>
      <c r="AG27" s="94"/>
      <c r="AH27" s="94">
        <v>2</v>
      </c>
      <c r="AI27" s="94">
        <v>3</v>
      </c>
      <c r="AJ27" s="71"/>
      <c r="AK27" s="94">
        <f t="shared" ref="AK27:AK29" si="0">SUBTOTAL(9,L27:AJ27)</f>
        <v>166</v>
      </c>
      <c r="AL27" s="79">
        <f t="shared" ref="AL27:AL29" si="1">+J27*AK27</f>
        <v>667569</v>
      </c>
    </row>
    <row r="28" spans="1:38">
      <c r="A28" s="163">
        <v>26</v>
      </c>
      <c r="B28" s="182" t="s">
        <v>644</v>
      </c>
      <c r="C28" s="177" t="s">
        <v>645</v>
      </c>
      <c r="D28" s="185" t="s">
        <v>646</v>
      </c>
      <c r="E28" s="164">
        <v>114</v>
      </c>
      <c r="F28" s="165">
        <v>5754</v>
      </c>
      <c r="G28" s="165">
        <v>3354</v>
      </c>
      <c r="H28" s="166">
        <v>0.25</v>
      </c>
      <c r="I28" s="167">
        <v>0.56282586027111581</v>
      </c>
      <c r="J28" s="165">
        <v>2515.5</v>
      </c>
      <c r="K28" s="168">
        <v>286767</v>
      </c>
      <c r="L28" s="71"/>
      <c r="M28" s="71"/>
      <c r="N28" s="91"/>
      <c r="O28" s="71"/>
      <c r="P28" s="77">
        <v>10</v>
      </c>
      <c r="Q28" s="77"/>
      <c r="R28" s="94">
        <v>10</v>
      </c>
      <c r="S28" s="71"/>
      <c r="T28" s="94">
        <v>10</v>
      </c>
      <c r="U28" s="94">
        <v>10</v>
      </c>
      <c r="V28" s="94">
        <v>10</v>
      </c>
      <c r="W28" s="71"/>
      <c r="X28" s="94">
        <v>10</v>
      </c>
      <c r="Y28" s="94">
        <v>10</v>
      </c>
      <c r="Z28" s="94">
        <v>9</v>
      </c>
      <c r="AA28" s="94">
        <v>10</v>
      </c>
      <c r="AB28" s="94">
        <v>20</v>
      </c>
      <c r="AC28" s="94">
        <v>10</v>
      </c>
      <c r="AD28" s="94">
        <v>40</v>
      </c>
      <c r="AE28" s="94">
        <v>10</v>
      </c>
      <c r="AF28" s="94">
        <v>30</v>
      </c>
      <c r="AG28" s="94"/>
      <c r="AH28" s="94">
        <v>10</v>
      </c>
      <c r="AI28" s="94">
        <v>25</v>
      </c>
      <c r="AJ28" s="94">
        <v>30</v>
      </c>
      <c r="AK28" s="94">
        <f t="shared" si="0"/>
        <v>264</v>
      </c>
      <c r="AL28" s="79">
        <f t="shared" si="1"/>
        <v>664092</v>
      </c>
    </row>
    <row r="29" spans="1:38">
      <c r="A29" s="163">
        <v>27</v>
      </c>
      <c r="B29" s="182" t="s">
        <v>647</v>
      </c>
      <c r="C29" s="177" t="s">
        <v>648</v>
      </c>
      <c r="D29" s="185" t="s">
        <v>579</v>
      </c>
      <c r="E29" s="164">
        <v>148</v>
      </c>
      <c r="F29" s="165">
        <v>9634</v>
      </c>
      <c r="G29" s="165">
        <v>4560</v>
      </c>
      <c r="H29" s="166">
        <v>0.25</v>
      </c>
      <c r="I29" s="167">
        <v>0.64500726593315338</v>
      </c>
      <c r="J29" s="165">
        <v>3420</v>
      </c>
      <c r="K29" s="168">
        <v>506160</v>
      </c>
      <c r="L29" s="71">
        <v>45</v>
      </c>
      <c r="M29" s="71">
        <v>5</v>
      </c>
      <c r="N29" s="91">
        <v>5</v>
      </c>
      <c r="O29" s="71"/>
      <c r="P29" s="71">
        <v>5</v>
      </c>
      <c r="Q29" s="71">
        <v>5</v>
      </c>
      <c r="R29" s="71">
        <v>5</v>
      </c>
      <c r="S29" s="71">
        <v>5</v>
      </c>
      <c r="T29" s="71">
        <v>5</v>
      </c>
      <c r="U29" s="71">
        <v>5</v>
      </c>
      <c r="V29" s="71">
        <v>5</v>
      </c>
      <c r="W29" s="71">
        <v>5</v>
      </c>
      <c r="X29" s="71">
        <v>5</v>
      </c>
      <c r="Y29" s="71">
        <v>5</v>
      </c>
      <c r="Z29" s="71">
        <v>5</v>
      </c>
      <c r="AA29" s="71">
        <v>5</v>
      </c>
      <c r="AB29" s="71">
        <v>5</v>
      </c>
      <c r="AC29" s="71">
        <v>5</v>
      </c>
      <c r="AD29" s="71"/>
      <c r="AE29" s="71">
        <v>10</v>
      </c>
      <c r="AF29" s="71">
        <v>4</v>
      </c>
      <c r="AG29" s="94"/>
      <c r="AH29" s="71"/>
      <c r="AI29" s="71"/>
      <c r="AJ29" s="71"/>
      <c r="AK29" s="71">
        <f t="shared" si="0"/>
        <v>139</v>
      </c>
      <c r="AL29" s="79">
        <f t="shared" si="1"/>
        <v>475380</v>
      </c>
    </row>
    <row r="30" spans="1:38">
      <c r="A30" s="163">
        <v>28</v>
      </c>
      <c r="B30" s="182" t="s">
        <v>649</v>
      </c>
      <c r="C30" s="178" t="s">
        <v>650</v>
      </c>
      <c r="D30" s="185" t="s">
        <v>621</v>
      </c>
      <c r="E30" s="164">
        <v>0</v>
      </c>
      <c r="F30" s="165">
        <v>0</v>
      </c>
      <c r="G30" s="165">
        <v>0</v>
      </c>
      <c r="H30" s="166">
        <v>0</v>
      </c>
      <c r="I30" s="167">
        <v>0</v>
      </c>
      <c r="J30" s="165">
        <v>0</v>
      </c>
      <c r="K30" s="168">
        <v>0</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row>
    <row r="31" spans="1:38">
      <c r="A31" s="163">
        <v>29</v>
      </c>
      <c r="B31" s="182" t="s">
        <v>651</v>
      </c>
      <c r="C31" s="177" t="s">
        <v>650</v>
      </c>
      <c r="D31" s="185" t="s">
        <v>652</v>
      </c>
      <c r="E31" s="164">
        <v>0</v>
      </c>
      <c r="F31" s="165">
        <v>0</v>
      </c>
      <c r="G31" s="165">
        <v>0</v>
      </c>
      <c r="H31" s="166">
        <v>0</v>
      </c>
      <c r="I31" s="167">
        <v>0</v>
      </c>
      <c r="J31" s="165">
        <v>0</v>
      </c>
      <c r="K31" s="168">
        <v>0</v>
      </c>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row>
    <row r="32" spans="1:38">
      <c r="A32" s="163">
        <v>30</v>
      </c>
      <c r="B32" s="182" t="s">
        <v>653</v>
      </c>
      <c r="C32" s="177" t="s">
        <v>654</v>
      </c>
      <c r="D32" s="185" t="s">
        <v>643</v>
      </c>
      <c r="E32" s="164">
        <v>226</v>
      </c>
      <c r="F32" s="165">
        <v>8865</v>
      </c>
      <c r="G32" s="165">
        <v>5534</v>
      </c>
      <c r="H32" s="166">
        <v>0.25</v>
      </c>
      <c r="I32" s="167">
        <v>0.53181049069373942</v>
      </c>
      <c r="J32" s="165">
        <v>4150.5</v>
      </c>
      <c r="K32" s="168">
        <v>938013</v>
      </c>
      <c r="L32" s="71">
        <v>45</v>
      </c>
      <c r="M32" s="71">
        <v>4</v>
      </c>
      <c r="N32" s="91">
        <v>4</v>
      </c>
      <c r="O32" s="71"/>
      <c r="P32" s="71">
        <v>4</v>
      </c>
      <c r="Q32" s="71">
        <v>4</v>
      </c>
      <c r="R32" s="71">
        <v>4</v>
      </c>
      <c r="S32" s="71">
        <v>4</v>
      </c>
      <c r="T32" s="71">
        <v>4</v>
      </c>
      <c r="U32" s="71">
        <v>4</v>
      </c>
      <c r="V32" s="71">
        <v>4</v>
      </c>
      <c r="W32" s="71">
        <v>4</v>
      </c>
      <c r="X32" s="71">
        <v>4</v>
      </c>
      <c r="Y32" s="71">
        <v>4</v>
      </c>
      <c r="Z32" s="71">
        <v>4</v>
      </c>
      <c r="AA32" s="71">
        <v>4</v>
      </c>
      <c r="AB32" s="71">
        <v>4</v>
      </c>
      <c r="AC32" s="71">
        <v>8</v>
      </c>
      <c r="AD32" s="71">
        <v>20</v>
      </c>
      <c r="AE32" s="71">
        <v>15</v>
      </c>
      <c r="AF32" s="71">
        <v>15</v>
      </c>
      <c r="AG32" s="94">
        <v>7</v>
      </c>
      <c r="AH32" s="71">
        <v>3</v>
      </c>
      <c r="AI32" s="71">
        <v>18</v>
      </c>
      <c r="AJ32" s="71">
        <v>6</v>
      </c>
      <c r="AK32" s="71">
        <f>SUBTOTAL(9,L32:AJ32)</f>
        <v>197</v>
      </c>
      <c r="AL32" s="79">
        <f>+J32*AK32</f>
        <v>817648.5</v>
      </c>
    </row>
    <row r="33" spans="1:38">
      <c r="A33" s="163">
        <v>31</v>
      </c>
      <c r="B33" s="182" t="s">
        <v>655</v>
      </c>
      <c r="C33" s="177" t="s">
        <v>656</v>
      </c>
      <c r="D33" s="185" t="s">
        <v>657</v>
      </c>
      <c r="E33" s="164">
        <v>0</v>
      </c>
      <c r="F33" s="165">
        <v>0</v>
      </c>
      <c r="G33" s="165">
        <v>0</v>
      </c>
      <c r="H33" s="166">
        <v>0</v>
      </c>
      <c r="I33" s="167">
        <v>0</v>
      </c>
      <c r="J33" s="165">
        <v>0</v>
      </c>
      <c r="K33" s="168">
        <v>0</v>
      </c>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row>
    <row r="34" spans="1:38">
      <c r="A34" s="163">
        <v>32</v>
      </c>
      <c r="B34" s="182" t="s">
        <v>658</v>
      </c>
      <c r="C34" s="177" t="s">
        <v>659</v>
      </c>
      <c r="D34" s="185" t="s">
        <v>660</v>
      </c>
      <c r="E34" s="164">
        <v>0</v>
      </c>
      <c r="F34" s="165">
        <v>0</v>
      </c>
      <c r="G34" s="165">
        <v>0</v>
      </c>
      <c r="H34" s="166">
        <v>0</v>
      </c>
      <c r="I34" s="167">
        <v>0</v>
      </c>
      <c r="J34" s="165">
        <v>0</v>
      </c>
      <c r="K34" s="168">
        <v>0</v>
      </c>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row>
    <row r="35" spans="1:38">
      <c r="A35" s="163">
        <v>33</v>
      </c>
      <c r="B35" s="182" t="s">
        <v>661</v>
      </c>
      <c r="C35" s="177" t="s">
        <v>662</v>
      </c>
      <c r="D35" s="185" t="s">
        <v>579</v>
      </c>
      <c r="E35" s="164">
        <v>0</v>
      </c>
      <c r="F35" s="165">
        <v>0</v>
      </c>
      <c r="G35" s="165">
        <v>0</v>
      </c>
      <c r="H35" s="166">
        <v>0</v>
      </c>
      <c r="I35" s="167">
        <v>0</v>
      </c>
      <c r="J35" s="165">
        <v>0</v>
      </c>
      <c r="K35" s="168">
        <v>0</v>
      </c>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row>
    <row r="36" spans="1:38">
      <c r="A36" s="163">
        <v>34</v>
      </c>
      <c r="B36" s="182" t="s">
        <v>663</v>
      </c>
      <c r="C36" s="177" t="s">
        <v>664</v>
      </c>
      <c r="D36" s="185" t="s">
        <v>665</v>
      </c>
      <c r="E36" s="164">
        <v>0</v>
      </c>
      <c r="F36" s="165">
        <v>0</v>
      </c>
      <c r="G36" s="165">
        <v>0</v>
      </c>
      <c r="H36" s="166">
        <v>0</v>
      </c>
      <c r="I36" s="167">
        <v>0</v>
      </c>
      <c r="J36" s="165">
        <v>0</v>
      </c>
      <c r="K36" s="168">
        <v>0</v>
      </c>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row>
    <row r="37" spans="1:38">
      <c r="A37" s="163">
        <v>35</v>
      </c>
      <c r="B37" s="182" t="s">
        <v>666</v>
      </c>
      <c r="C37" s="177" t="s">
        <v>667</v>
      </c>
      <c r="D37" s="185" t="s">
        <v>668</v>
      </c>
      <c r="E37" s="164">
        <v>0</v>
      </c>
      <c r="F37" s="165">
        <v>0</v>
      </c>
      <c r="G37" s="165">
        <v>0</v>
      </c>
      <c r="H37" s="166">
        <v>0</v>
      </c>
      <c r="I37" s="167">
        <v>0</v>
      </c>
      <c r="J37" s="165">
        <v>0</v>
      </c>
      <c r="K37" s="168">
        <v>0</v>
      </c>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row>
    <row r="38" spans="1:38">
      <c r="A38" s="163">
        <v>36</v>
      </c>
      <c r="B38" s="182" t="s">
        <v>669</v>
      </c>
      <c r="C38" s="177" t="s">
        <v>667</v>
      </c>
      <c r="D38" s="185" t="s">
        <v>643</v>
      </c>
      <c r="E38" s="164">
        <v>0</v>
      </c>
      <c r="F38" s="165">
        <v>0</v>
      </c>
      <c r="G38" s="165">
        <v>0</v>
      </c>
      <c r="H38" s="166">
        <v>0</v>
      </c>
      <c r="I38" s="167">
        <v>0</v>
      </c>
      <c r="J38" s="165">
        <v>0</v>
      </c>
      <c r="K38" s="168">
        <v>0</v>
      </c>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row>
    <row r="39" spans="1:38">
      <c r="A39" s="163">
        <v>37</v>
      </c>
      <c r="B39" s="182" t="s">
        <v>670</v>
      </c>
      <c r="C39" s="177" t="s">
        <v>671</v>
      </c>
      <c r="D39" s="185" t="s">
        <v>672</v>
      </c>
      <c r="E39" s="164">
        <v>0</v>
      </c>
      <c r="F39" s="165">
        <v>0</v>
      </c>
      <c r="G39" s="165">
        <v>0</v>
      </c>
      <c r="H39" s="166">
        <v>0</v>
      </c>
      <c r="I39" s="167">
        <v>0</v>
      </c>
      <c r="J39" s="165">
        <v>0</v>
      </c>
      <c r="K39" s="168">
        <v>0</v>
      </c>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row>
    <row r="40" spans="1:38">
      <c r="A40" s="163">
        <v>38</v>
      </c>
      <c r="B40" s="182" t="s">
        <v>673</v>
      </c>
      <c r="C40" s="177" t="s">
        <v>671</v>
      </c>
      <c r="D40" s="185" t="s">
        <v>674</v>
      </c>
      <c r="E40" s="164">
        <v>0</v>
      </c>
      <c r="F40" s="165">
        <v>0</v>
      </c>
      <c r="G40" s="165">
        <v>0</v>
      </c>
      <c r="H40" s="166">
        <v>0</v>
      </c>
      <c r="I40" s="167">
        <v>0</v>
      </c>
      <c r="J40" s="165">
        <v>0</v>
      </c>
      <c r="K40" s="168">
        <v>0</v>
      </c>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row>
    <row r="41" spans="1:38">
      <c r="A41" s="163">
        <v>39</v>
      </c>
      <c r="B41" s="182" t="s">
        <v>675</v>
      </c>
      <c r="C41" s="177" t="s">
        <v>676</v>
      </c>
      <c r="D41" s="185" t="s">
        <v>643</v>
      </c>
      <c r="E41" s="164">
        <v>0</v>
      </c>
      <c r="F41" s="165">
        <v>0</v>
      </c>
      <c r="G41" s="165">
        <v>0</v>
      </c>
      <c r="H41" s="166">
        <v>0</v>
      </c>
      <c r="I41" s="167">
        <v>0</v>
      </c>
      <c r="J41" s="165">
        <v>0</v>
      </c>
      <c r="K41" s="168">
        <v>0</v>
      </c>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row>
    <row r="42" spans="1:38">
      <c r="A42" s="163">
        <v>40</v>
      </c>
      <c r="B42" s="182" t="s">
        <v>677</v>
      </c>
      <c r="C42" s="177" t="s">
        <v>678</v>
      </c>
      <c r="D42" s="185" t="s">
        <v>618</v>
      </c>
      <c r="E42" s="164">
        <v>0</v>
      </c>
      <c r="F42" s="165">
        <v>0</v>
      </c>
      <c r="G42" s="165">
        <v>0</v>
      </c>
      <c r="H42" s="166">
        <v>0</v>
      </c>
      <c r="I42" s="167">
        <v>0</v>
      </c>
      <c r="J42" s="165">
        <v>0</v>
      </c>
      <c r="K42" s="168">
        <v>0</v>
      </c>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row>
    <row r="43" spans="1:38">
      <c r="A43" s="163">
        <v>41</v>
      </c>
      <c r="B43" s="182" t="s">
        <v>679</v>
      </c>
      <c r="C43" s="177" t="s">
        <v>680</v>
      </c>
      <c r="D43" s="185" t="s">
        <v>681</v>
      </c>
      <c r="E43" s="164">
        <v>0</v>
      </c>
      <c r="F43" s="165">
        <v>0</v>
      </c>
      <c r="G43" s="165">
        <v>0</v>
      </c>
      <c r="H43" s="166">
        <v>0</v>
      </c>
      <c r="I43" s="167">
        <v>0</v>
      </c>
      <c r="J43" s="165">
        <v>0</v>
      </c>
      <c r="K43" s="168">
        <v>0</v>
      </c>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row>
    <row r="44" spans="1:38">
      <c r="A44" s="163">
        <v>42</v>
      </c>
      <c r="B44" s="182" t="s">
        <v>682</v>
      </c>
      <c r="C44" s="177" t="s">
        <v>683</v>
      </c>
      <c r="D44" s="185" t="s">
        <v>684</v>
      </c>
      <c r="E44" s="164">
        <v>0</v>
      </c>
      <c r="F44" s="165">
        <v>0</v>
      </c>
      <c r="G44" s="165">
        <v>0</v>
      </c>
      <c r="H44" s="166">
        <v>0</v>
      </c>
      <c r="I44" s="167">
        <v>0</v>
      </c>
      <c r="J44" s="165">
        <v>0</v>
      </c>
      <c r="K44" s="168">
        <v>0</v>
      </c>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row>
    <row r="45" spans="1:38">
      <c r="A45" s="163">
        <v>43</v>
      </c>
      <c r="B45" s="182" t="s">
        <v>685</v>
      </c>
      <c r="C45" s="177" t="s">
        <v>686</v>
      </c>
      <c r="D45" s="185" t="s">
        <v>687</v>
      </c>
      <c r="E45" s="164">
        <v>0</v>
      </c>
      <c r="F45" s="165">
        <v>0</v>
      </c>
      <c r="G45" s="165">
        <v>0</v>
      </c>
      <c r="H45" s="166">
        <v>0</v>
      </c>
      <c r="I45" s="167">
        <v>0</v>
      </c>
      <c r="J45" s="165">
        <v>0</v>
      </c>
      <c r="K45" s="168">
        <v>0</v>
      </c>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row>
    <row r="46" spans="1:38">
      <c r="A46" s="163">
        <v>44</v>
      </c>
      <c r="B46" s="182" t="s">
        <v>688</v>
      </c>
      <c r="C46" s="177" t="s">
        <v>689</v>
      </c>
      <c r="D46" s="185" t="s">
        <v>579</v>
      </c>
      <c r="E46" s="164">
        <v>182</v>
      </c>
      <c r="F46" s="165">
        <v>28847</v>
      </c>
      <c r="G46" s="165">
        <v>19277</v>
      </c>
      <c r="H46" s="166">
        <v>0.25</v>
      </c>
      <c r="I46" s="167">
        <v>0.49881270149408952</v>
      </c>
      <c r="J46" s="165">
        <v>14457.75</v>
      </c>
      <c r="K46" s="168">
        <v>2631310.5</v>
      </c>
      <c r="L46" s="71">
        <v>50</v>
      </c>
      <c r="M46" s="71">
        <v>8</v>
      </c>
      <c r="N46" s="91">
        <v>8</v>
      </c>
      <c r="O46" s="71"/>
      <c r="P46" s="71">
        <v>8</v>
      </c>
      <c r="Q46" s="77">
        <v>8</v>
      </c>
      <c r="R46" s="71">
        <v>8</v>
      </c>
      <c r="S46" s="71">
        <v>8</v>
      </c>
      <c r="T46" s="71">
        <v>8</v>
      </c>
      <c r="U46" s="71">
        <v>8</v>
      </c>
      <c r="V46" s="71">
        <v>8</v>
      </c>
      <c r="W46" s="71">
        <v>8</v>
      </c>
      <c r="X46" s="71">
        <v>4</v>
      </c>
      <c r="Y46" s="71">
        <v>4</v>
      </c>
      <c r="Z46" s="71"/>
      <c r="AA46" s="71">
        <v>8</v>
      </c>
      <c r="AB46" s="71">
        <v>4</v>
      </c>
      <c r="AC46" s="71">
        <v>4</v>
      </c>
      <c r="AD46" s="71"/>
      <c r="AE46" s="71">
        <v>3</v>
      </c>
      <c r="AF46" s="71"/>
      <c r="AG46" s="94">
        <v>1</v>
      </c>
      <c r="AH46" s="71"/>
      <c r="AI46" s="71">
        <v>3</v>
      </c>
      <c r="AJ46" s="71"/>
      <c r="AK46" s="71">
        <f>SUBTOTAL(9,L46:AJ46)</f>
        <v>161</v>
      </c>
      <c r="AL46" s="79">
        <f>+J46*AK46</f>
        <v>2327697.75</v>
      </c>
    </row>
    <row r="47" spans="1:38">
      <c r="A47" s="163">
        <v>45</v>
      </c>
      <c r="B47" s="182" t="s">
        <v>690</v>
      </c>
      <c r="C47" s="178" t="s">
        <v>691</v>
      </c>
      <c r="D47" s="185" t="s">
        <v>643</v>
      </c>
      <c r="E47" s="164">
        <v>0</v>
      </c>
      <c r="F47" s="165">
        <v>0</v>
      </c>
      <c r="G47" s="165">
        <v>0</v>
      </c>
      <c r="H47" s="166">
        <v>0</v>
      </c>
      <c r="I47" s="167">
        <v>0</v>
      </c>
      <c r="J47" s="165">
        <v>0</v>
      </c>
      <c r="K47" s="168">
        <v>0</v>
      </c>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row>
    <row r="48" spans="1:38">
      <c r="A48" s="163">
        <v>46</v>
      </c>
      <c r="B48" s="182" t="s">
        <v>692</v>
      </c>
      <c r="C48" s="177" t="s">
        <v>693</v>
      </c>
      <c r="D48" s="185" t="s">
        <v>579</v>
      </c>
      <c r="E48" s="164">
        <v>0</v>
      </c>
      <c r="F48" s="165">
        <v>0</v>
      </c>
      <c r="G48" s="165">
        <v>0</v>
      </c>
      <c r="H48" s="166">
        <v>0</v>
      </c>
      <c r="I48" s="167">
        <v>0</v>
      </c>
      <c r="J48" s="165">
        <v>0</v>
      </c>
      <c r="K48" s="168">
        <v>0</v>
      </c>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row>
    <row r="49" spans="1:38">
      <c r="A49" s="163">
        <v>47</v>
      </c>
      <c r="B49" s="182" t="s">
        <v>694</v>
      </c>
      <c r="C49" s="177" t="s">
        <v>695</v>
      </c>
      <c r="D49" s="185" t="s">
        <v>643</v>
      </c>
      <c r="E49" s="164">
        <v>0</v>
      </c>
      <c r="F49" s="165">
        <v>0</v>
      </c>
      <c r="G49" s="165">
        <v>0</v>
      </c>
      <c r="H49" s="166">
        <v>0</v>
      </c>
      <c r="I49" s="167">
        <v>0</v>
      </c>
      <c r="J49" s="165">
        <v>0</v>
      </c>
      <c r="K49" s="168">
        <v>0</v>
      </c>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row>
    <row r="50" spans="1:38">
      <c r="A50" s="163">
        <v>48</v>
      </c>
      <c r="B50" s="182" t="s">
        <v>696</v>
      </c>
      <c r="C50" s="177" t="s">
        <v>697</v>
      </c>
      <c r="D50" s="185" t="s">
        <v>579</v>
      </c>
      <c r="E50" s="164">
        <v>171</v>
      </c>
      <c r="F50" s="165">
        <v>64693</v>
      </c>
      <c r="G50" s="165">
        <v>33488</v>
      </c>
      <c r="H50" s="166">
        <v>0.25</v>
      </c>
      <c r="I50" s="167">
        <v>0.61176634257183937</v>
      </c>
      <c r="J50" s="165">
        <v>25116</v>
      </c>
      <c r="K50" s="168">
        <v>4294836</v>
      </c>
      <c r="L50" s="71">
        <v>50</v>
      </c>
      <c r="M50" s="71">
        <v>2</v>
      </c>
      <c r="N50" s="91">
        <v>2</v>
      </c>
      <c r="O50" s="71"/>
      <c r="P50" s="71">
        <v>2</v>
      </c>
      <c r="Q50" s="71">
        <v>2</v>
      </c>
      <c r="R50" s="71">
        <v>2</v>
      </c>
      <c r="S50" s="71">
        <v>2</v>
      </c>
      <c r="T50" s="71">
        <v>2</v>
      </c>
      <c r="U50" s="71">
        <v>2</v>
      </c>
      <c r="V50" s="71">
        <v>2</v>
      </c>
      <c r="W50" s="71">
        <v>2</v>
      </c>
      <c r="X50" s="71">
        <v>2</v>
      </c>
      <c r="Y50" s="71">
        <v>2</v>
      </c>
      <c r="Z50" s="71">
        <v>2</v>
      </c>
      <c r="AA50" s="71">
        <v>2</v>
      </c>
      <c r="AB50" s="71">
        <v>2</v>
      </c>
      <c r="AC50" s="71">
        <v>4</v>
      </c>
      <c r="AD50" s="71"/>
      <c r="AE50" s="71">
        <v>1</v>
      </c>
      <c r="AF50" s="71">
        <v>6</v>
      </c>
      <c r="AG50" s="94">
        <v>1</v>
      </c>
      <c r="AH50" s="71"/>
      <c r="AI50" s="71">
        <v>3</v>
      </c>
      <c r="AJ50" s="71">
        <v>1</v>
      </c>
      <c r="AK50" s="71">
        <f t="shared" ref="AK50:AK52" si="2">SUBTOTAL(9,L50:AJ50)</f>
        <v>96</v>
      </c>
      <c r="AL50" s="79">
        <f t="shared" ref="AL50:AL52" si="3">+J50*AK50</f>
        <v>2411136</v>
      </c>
    </row>
    <row r="51" spans="1:38">
      <c r="A51" s="163">
        <v>49</v>
      </c>
      <c r="B51" s="182" t="s">
        <v>698</v>
      </c>
      <c r="C51" s="177" t="s">
        <v>699</v>
      </c>
      <c r="D51" s="185" t="s">
        <v>700</v>
      </c>
      <c r="E51" s="164">
        <v>113</v>
      </c>
      <c r="F51" s="165">
        <v>24300</v>
      </c>
      <c r="G51" s="165">
        <v>18358</v>
      </c>
      <c r="H51" s="166">
        <v>0.25</v>
      </c>
      <c r="I51" s="167">
        <v>0.43339506172839504</v>
      </c>
      <c r="J51" s="165">
        <v>13768.5</v>
      </c>
      <c r="K51" s="168">
        <v>1555840.5</v>
      </c>
      <c r="L51" s="71">
        <v>45</v>
      </c>
      <c r="M51" s="71">
        <v>3</v>
      </c>
      <c r="N51" s="91">
        <v>3</v>
      </c>
      <c r="O51" s="71"/>
      <c r="P51" s="71">
        <v>3</v>
      </c>
      <c r="Q51" s="71">
        <v>3</v>
      </c>
      <c r="R51" s="71">
        <v>3</v>
      </c>
      <c r="S51" s="71">
        <v>3</v>
      </c>
      <c r="T51" s="71">
        <v>3</v>
      </c>
      <c r="U51" s="71">
        <v>3</v>
      </c>
      <c r="V51" s="71"/>
      <c r="W51" s="71">
        <v>3</v>
      </c>
      <c r="X51" s="71">
        <v>3</v>
      </c>
      <c r="Y51" s="71">
        <v>3</v>
      </c>
      <c r="Z51" s="71">
        <v>3</v>
      </c>
      <c r="AA51" s="71">
        <v>3</v>
      </c>
      <c r="AB51" s="71">
        <v>3</v>
      </c>
      <c r="AC51" s="71">
        <v>2</v>
      </c>
      <c r="AD51" s="71"/>
      <c r="AE51" s="71">
        <v>5</v>
      </c>
      <c r="AF51" s="71"/>
      <c r="AG51" s="94">
        <v>1</v>
      </c>
      <c r="AH51" s="71"/>
      <c r="AI51" s="71">
        <v>4</v>
      </c>
      <c r="AJ51" s="71"/>
      <c r="AK51" s="71">
        <f t="shared" si="2"/>
        <v>99</v>
      </c>
      <c r="AL51" s="79">
        <f t="shared" si="3"/>
        <v>1363081.5</v>
      </c>
    </row>
    <row r="52" spans="1:38">
      <c r="A52" s="163">
        <v>50</v>
      </c>
      <c r="B52" s="182" t="s">
        <v>701</v>
      </c>
      <c r="C52" s="177" t="s">
        <v>702</v>
      </c>
      <c r="D52" s="185" t="s">
        <v>579</v>
      </c>
      <c r="E52" s="164">
        <v>167</v>
      </c>
      <c r="F52" s="165">
        <v>16746</v>
      </c>
      <c r="G52" s="165">
        <v>7567</v>
      </c>
      <c r="H52" s="166">
        <v>0.25</v>
      </c>
      <c r="I52" s="167">
        <v>0.66109817269795768</v>
      </c>
      <c r="J52" s="165">
        <v>5675.25</v>
      </c>
      <c r="K52" s="168">
        <v>947766.75</v>
      </c>
      <c r="L52" s="71">
        <v>60</v>
      </c>
      <c r="M52" s="71">
        <v>2</v>
      </c>
      <c r="N52" s="91">
        <v>2</v>
      </c>
      <c r="O52" s="71"/>
      <c r="P52" s="71">
        <v>2</v>
      </c>
      <c r="Q52" s="71">
        <v>2</v>
      </c>
      <c r="R52" s="71">
        <v>2</v>
      </c>
      <c r="S52" s="71">
        <v>2</v>
      </c>
      <c r="T52" s="71">
        <v>2</v>
      </c>
      <c r="U52" s="71">
        <v>2</v>
      </c>
      <c r="V52" s="71">
        <v>2</v>
      </c>
      <c r="W52" s="71">
        <v>2</v>
      </c>
      <c r="X52" s="71">
        <v>2</v>
      </c>
      <c r="Y52" s="71">
        <v>2</v>
      </c>
      <c r="Z52" s="71">
        <v>2</v>
      </c>
      <c r="AA52" s="71">
        <v>2</v>
      </c>
      <c r="AB52" s="71">
        <v>2</v>
      </c>
      <c r="AC52" s="71">
        <v>2</v>
      </c>
      <c r="AD52" s="71">
        <v>8</v>
      </c>
      <c r="AE52" s="71">
        <v>10</v>
      </c>
      <c r="AF52" s="71">
        <v>10</v>
      </c>
      <c r="AG52" s="94">
        <v>1</v>
      </c>
      <c r="AH52" s="71">
        <v>3</v>
      </c>
      <c r="AI52" s="71">
        <v>15</v>
      </c>
      <c r="AJ52" s="71"/>
      <c r="AK52" s="71">
        <f t="shared" si="2"/>
        <v>139</v>
      </c>
      <c r="AL52" s="79">
        <f t="shared" si="3"/>
        <v>788859.75</v>
      </c>
    </row>
    <row r="53" spans="1:38">
      <c r="A53" s="163">
        <v>51</v>
      </c>
      <c r="B53" s="182" t="s">
        <v>703</v>
      </c>
      <c r="C53" s="177" t="s">
        <v>704</v>
      </c>
      <c r="D53" s="185" t="s">
        <v>700</v>
      </c>
      <c r="E53" s="164">
        <v>0</v>
      </c>
      <c r="F53" s="165">
        <v>0</v>
      </c>
      <c r="G53" s="165">
        <v>0</v>
      </c>
      <c r="H53" s="166">
        <v>0</v>
      </c>
      <c r="I53" s="167">
        <v>0</v>
      </c>
      <c r="J53" s="165">
        <v>0</v>
      </c>
      <c r="K53" s="168">
        <v>0</v>
      </c>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row>
    <row r="54" spans="1:38">
      <c r="A54" s="163">
        <v>52</v>
      </c>
      <c r="B54" s="182" t="s">
        <v>705</v>
      </c>
      <c r="C54" s="177" t="s">
        <v>706</v>
      </c>
      <c r="D54" s="185" t="s">
        <v>700</v>
      </c>
      <c r="E54" s="164">
        <v>27</v>
      </c>
      <c r="F54" s="165">
        <v>12921</v>
      </c>
      <c r="G54" s="165">
        <v>6960</v>
      </c>
      <c r="H54" s="166">
        <v>0.2</v>
      </c>
      <c r="I54" s="167">
        <v>0.56907360111446481</v>
      </c>
      <c r="J54" s="165">
        <v>5568</v>
      </c>
      <c r="K54" s="168">
        <v>150336</v>
      </c>
      <c r="L54" s="94">
        <v>24</v>
      </c>
      <c r="M54" s="94">
        <v>3</v>
      </c>
      <c r="N54" s="191">
        <v>3</v>
      </c>
      <c r="O54" s="71"/>
      <c r="P54" s="94">
        <v>3</v>
      </c>
      <c r="Q54" s="94">
        <v>3</v>
      </c>
      <c r="R54" s="71">
        <v>3</v>
      </c>
      <c r="S54" s="94">
        <v>3</v>
      </c>
      <c r="T54" s="94">
        <v>3</v>
      </c>
      <c r="U54" s="94">
        <v>3</v>
      </c>
      <c r="V54" s="94">
        <v>3</v>
      </c>
      <c r="W54" s="94">
        <v>3</v>
      </c>
      <c r="X54" s="94">
        <v>3</v>
      </c>
      <c r="Y54" s="94">
        <v>3</v>
      </c>
      <c r="Z54" s="94">
        <v>3</v>
      </c>
      <c r="AA54" s="94">
        <v>3</v>
      </c>
      <c r="AB54" s="94">
        <v>3</v>
      </c>
      <c r="AC54" s="71"/>
      <c r="AD54" s="71"/>
      <c r="AE54" s="94">
        <v>4</v>
      </c>
      <c r="AF54" s="94">
        <v>4</v>
      </c>
      <c r="AG54" s="94"/>
      <c r="AH54" s="94">
        <v>2</v>
      </c>
      <c r="AI54" s="71"/>
      <c r="AJ54" s="94">
        <v>2</v>
      </c>
      <c r="AK54" s="94">
        <f>SUBTOTAL(9,L54:AJ54)</f>
        <v>81</v>
      </c>
      <c r="AL54" s="79">
        <f>+J54*AK54</f>
        <v>451008</v>
      </c>
    </row>
    <row r="55" spans="1:38">
      <c r="A55" s="163">
        <v>53</v>
      </c>
      <c r="B55" s="182" t="s">
        <v>707</v>
      </c>
      <c r="C55" s="177" t="s">
        <v>708</v>
      </c>
      <c r="D55" s="185" t="s">
        <v>709</v>
      </c>
      <c r="E55" s="164">
        <v>0</v>
      </c>
      <c r="F55" s="165">
        <v>0</v>
      </c>
      <c r="G55" s="165">
        <v>0</v>
      </c>
      <c r="H55" s="166">
        <v>0</v>
      </c>
      <c r="I55" s="167">
        <v>0</v>
      </c>
      <c r="J55" s="165">
        <v>0</v>
      </c>
      <c r="K55" s="168">
        <v>0</v>
      </c>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row>
    <row r="56" spans="1:38">
      <c r="A56" s="163">
        <v>54</v>
      </c>
      <c r="B56" s="182" t="s">
        <v>710</v>
      </c>
      <c r="C56" s="177" t="s">
        <v>711</v>
      </c>
      <c r="D56" s="185" t="s">
        <v>712</v>
      </c>
      <c r="E56" s="164">
        <v>0</v>
      </c>
      <c r="F56" s="165">
        <v>0</v>
      </c>
      <c r="G56" s="165">
        <v>0</v>
      </c>
      <c r="H56" s="166">
        <v>0</v>
      </c>
      <c r="I56" s="167">
        <v>0</v>
      </c>
      <c r="J56" s="165">
        <v>0</v>
      </c>
      <c r="K56" s="168">
        <v>0</v>
      </c>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row>
    <row r="57" spans="1:38">
      <c r="A57" s="163">
        <v>55</v>
      </c>
      <c r="B57" s="182" t="s">
        <v>713</v>
      </c>
      <c r="C57" s="177" t="s">
        <v>714</v>
      </c>
      <c r="D57" s="185" t="s">
        <v>579</v>
      </c>
      <c r="E57" s="164">
        <v>64</v>
      </c>
      <c r="F57" s="165">
        <v>36815</v>
      </c>
      <c r="G57" s="165">
        <v>16273</v>
      </c>
      <c r="H57" s="166">
        <v>0.25</v>
      </c>
      <c r="I57" s="167">
        <v>0.6684843134591878</v>
      </c>
      <c r="J57" s="165">
        <v>12204.75</v>
      </c>
      <c r="K57" s="168">
        <v>781104</v>
      </c>
      <c r="L57" s="71">
        <v>15</v>
      </c>
      <c r="M57" s="71">
        <v>3</v>
      </c>
      <c r="N57" s="91">
        <v>3</v>
      </c>
      <c r="O57" s="71">
        <v>3</v>
      </c>
      <c r="P57" s="71">
        <v>3</v>
      </c>
      <c r="Q57" s="71">
        <v>3</v>
      </c>
      <c r="R57" s="71">
        <v>3</v>
      </c>
      <c r="S57" s="71">
        <v>3</v>
      </c>
      <c r="T57" s="71">
        <v>3</v>
      </c>
      <c r="U57" s="71">
        <v>3</v>
      </c>
      <c r="V57" s="71">
        <v>3</v>
      </c>
      <c r="W57" s="71"/>
      <c r="X57" s="71">
        <v>3</v>
      </c>
      <c r="Y57" s="71">
        <v>3</v>
      </c>
      <c r="Z57" s="71">
        <v>3</v>
      </c>
      <c r="AA57" s="71">
        <v>3</v>
      </c>
      <c r="AB57" s="71">
        <v>3</v>
      </c>
      <c r="AC57" s="71"/>
      <c r="AD57" s="71"/>
      <c r="AE57" s="71"/>
      <c r="AF57" s="71"/>
      <c r="AG57" s="94"/>
      <c r="AH57" s="71"/>
      <c r="AI57" s="71">
        <v>4</v>
      </c>
      <c r="AJ57" s="71"/>
      <c r="AK57" s="71">
        <f>SUBTOTAL(9,L57:AJ57)</f>
        <v>64</v>
      </c>
      <c r="AL57" s="79">
        <f>+J57*AK57</f>
        <v>781104</v>
      </c>
    </row>
    <row r="58" spans="1:38">
      <c r="A58" s="163">
        <v>56</v>
      </c>
      <c r="B58" s="182" t="s">
        <v>715</v>
      </c>
      <c r="C58" s="177" t="s">
        <v>716</v>
      </c>
      <c r="D58" s="185" t="s">
        <v>717</v>
      </c>
      <c r="E58" s="164">
        <v>0</v>
      </c>
      <c r="F58" s="165">
        <v>0</v>
      </c>
      <c r="G58" s="165">
        <v>0</v>
      </c>
      <c r="H58" s="166">
        <v>0</v>
      </c>
      <c r="I58" s="167">
        <v>0</v>
      </c>
      <c r="J58" s="165">
        <v>0</v>
      </c>
      <c r="K58" s="168">
        <v>0</v>
      </c>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row>
    <row r="59" spans="1:38">
      <c r="A59" s="163">
        <v>57</v>
      </c>
      <c r="B59" s="182" t="s">
        <v>718</v>
      </c>
      <c r="C59" s="177" t="s">
        <v>719</v>
      </c>
      <c r="D59" s="185" t="s">
        <v>720</v>
      </c>
      <c r="E59" s="164">
        <v>0</v>
      </c>
      <c r="F59" s="165">
        <v>0</v>
      </c>
      <c r="G59" s="165">
        <v>0</v>
      </c>
      <c r="H59" s="166">
        <v>0</v>
      </c>
      <c r="I59" s="167">
        <v>0</v>
      </c>
      <c r="J59" s="165">
        <v>0</v>
      </c>
      <c r="K59" s="168">
        <v>0</v>
      </c>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row>
    <row r="60" spans="1:38">
      <c r="A60" s="163">
        <v>58</v>
      </c>
      <c r="B60" s="182" t="s">
        <v>721</v>
      </c>
      <c r="C60" s="177" t="s">
        <v>722</v>
      </c>
      <c r="D60" s="185" t="s">
        <v>723</v>
      </c>
      <c r="E60" s="164">
        <v>0</v>
      </c>
      <c r="F60" s="165">
        <v>0</v>
      </c>
      <c r="G60" s="165">
        <v>0</v>
      </c>
      <c r="H60" s="166">
        <v>0</v>
      </c>
      <c r="I60" s="167">
        <v>0</v>
      </c>
      <c r="J60" s="165">
        <v>0</v>
      </c>
      <c r="K60" s="168">
        <v>0</v>
      </c>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row>
    <row r="61" spans="1:38">
      <c r="A61" s="163">
        <v>59</v>
      </c>
      <c r="B61" s="182" t="s">
        <v>724</v>
      </c>
      <c r="C61" s="177" t="s">
        <v>725</v>
      </c>
      <c r="D61" s="185" t="s">
        <v>726</v>
      </c>
      <c r="E61" s="164">
        <v>0</v>
      </c>
      <c r="F61" s="165">
        <v>0</v>
      </c>
      <c r="G61" s="165">
        <v>0</v>
      </c>
      <c r="H61" s="166">
        <v>0</v>
      </c>
      <c r="I61" s="167">
        <v>0</v>
      </c>
      <c r="J61" s="165">
        <v>0</v>
      </c>
      <c r="K61" s="168">
        <v>0</v>
      </c>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row>
    <row r="62" spans="1:38">
      <c r="A62" s="163">
        <v>60</v>
      </c>
      <c r="B62" s="182" t="s">
        <v>727</v>
      </c>
      <c r="C62" s="177" t="s">
        <v>728</v>
      </c>
      <c r="D62" s="185" t="s">
        <v>643</v>
      </c>
      <c r="E62" s="164">
        <v>132</v>
      </c>
      <c r="F62" s="165">
        <v>10224</v>
      </c>
      <c r="G62" s="165">
        <v>6024</v>
      </c>
      <c r="H62" s="166">
        <v>0.25</v>
      </c>
      <c r="I62" s="167">
        <v>0.55809859154929575</v>
      </c>
      <c r="J62" s="165">
        <v>4518</v>
      </c>
      <c r="K62" s="168">
        <v>596376</v>
      </c>
      <c r="L62" s="71">
        <v>36</v>
      </c>
      <c r="M62" s="71">
        <v>3</v>
      </c>
      <c r="N62" s="91">
        <v>3</v>
      </c>
      <c r="O62" s="71"/>
      <c r="P62" s="71">
        <v>3</v>
      </c>
      <c r="Q62" s="71">
        <v>3</v>
      </c>
      <c r="R62" s="71">
        <v>3</v>
      </c>
      <c r="S62" s="71">
        <v>3</v>
      </c>
      <c r="T62" s="71">
        <v>3</v>
      </c>
      <c r="U62" s="71">
        <v>3</v>
      </c>
      <c r="V62" s="71">
        <v>3</v>
      </c>
      <c r="W62" s="71">
        <v>3</v>
      </c>
      <c r="X62" s="71">
        <v>3</v>
      </c>
      <c r="Y62" s="71">
        <v>3</v>
      </c>
      <c r="Z62" s="71">
        <v>3</v>
      </c>
      <c r="AA62" s="71">
        <v>3</v>
      </c>
      <c r="AB62" s="71">
        <v>3</v>
      </c>
      <c r="AC62" s="71"/>
      <c r="AD62" s="71">
        <v>16</v>
      </c>
      <c r="AE62" s="71">
        <v>6</v>
      </c>
      <c r="AF62" s="71">
        <v>9</v>
      </c>
      <c r="AG62" s="94"/>
      <c r="AH62" s="71">
        <v>3</v>
      </c>
      <c r="AI62" s="71">
        <v>6</v>
      </c>
      <c r="AJ62" s="71">
        <v>2</v>
      </c>
      <c r="AK62" s="71">
        <f t="shared" ref="AK62:AK72" si="4">SUBTOTAL(9,L62:AJ62)</f>
        <v>123</v>
      </c>
      <c r="AL62" s="79">
        <f t="shared" ref="AL62:AL72" si="5">+J62*AK62</f>
        <v>555714</v>
      </c>
    </row>
    <row r="63" spans="1:38">
      <c r="A63" s="163">
        <v>61</v>
      </c>
      <c r="B63" s="182" t="s">
        <v>729</v>
      </c>
      <c r="C63" s="177" t="s">
        <v>730</v>
      </c>
      <c r="D63" s="185" t="s">
        <v>731</v>
      </c>
      <c r="E63" s="164">
        <v>80</v>
      </c>
      <c r="F63" s="165">
        <v>14175</v>
      </c>
      <c r="G63" s="165">
        <v>8035</v>
      </c>
      <c r="H63" s="166">
        <v>0.25</v>
      </c>
      <c r="I63" s="167">
        <v>0.57486772486772486</v>
      </c>
      <c r="J63" s="165">
        <v>6026.25</v>
      </c>
      <c r="K63" s="168">
        <v>482100</v>
      </c>
      <c r="L63" s="71">
        <v>10</v>
      </c>
      <c r="M63" s="71"/>
      <c r="N63" s="91">
        <v>2</v>
      </c>
      <c r="O63" s="71"/>
      <c r="P63" s="71">
        <v>2</v>
      </c>
      <c r="Q63" s="71">
        <v>2</v>
      </c>
      <c r="R63" s="71">
        <v>2</v>
      </c>
      <c r="S63" s="71">
        <v>2</v>
      </c>
      <c r="T63" s="71">
        <v>2</v>
      </c>
      <c r="U63" s="71">
        <v>2</v>
      </c>
      <c r="V63" s="71">
        <v>2</v>
      </c>
      <c r="W63" s="71">
        <v>6</v>
      </c>
      <c r="X63" s="71">
        <v>2</v>
      </c>
      <c r="Y63" s="71">
        <v>2</v>
      </c>
      <c r="Z63" s="71">
        <v>2</v>
      </c>
      <c r="AA63" s="71">
        <v>2</v>
      </c>
      <c r="AB63" s="71">
        <v>2</v>
      </c>
      <c r="AC63" s="71"/>
      <c r="AD63" s="71">
        <v>15</v>
      </c>
      <c r="AE63" s="71">
        <v>20</v>
      </c>
      <c r="AF63" s="71">
        <v>7</v>
      </c>
      <c r="AG63" s="94">
        <v>5</v>
      </c>
      <c r="AH63" s="71">
        <v>3</v>
      </c>
      <c r="AI63" s="71">
        <v>5</v>
      </c>
      <c r="AJ63" s="71"/>
      <c r="AK63" s="71">
        <f t="shared" si="4"/>
        <v>97</v>
      </c>
      <c r="AL63" s="79">
        <f t="shared" si="5"/>
        <v>584546.25</v>
      </c>
    </row>
    <row r="64" spans="1:38">
      <c r="A64" s="163">
        <v>62</v>
      </c>
      <c r="B64" s="182" t="s">
        <v>732</v>
      </c>
      <c r="C64" s="177" t="s">
        <v>733</v>
      </c>
      <c r="D64" s="185" t="s">
        <v>734</v>
      </c>
      <c r="E64" s="164">
        <v>37</v>
      </c>
      <c r="F64" s="165">
        <v>20241</v>
      </c>
      <c r="G64" s="165">
        <v>10137</v>
      </c>
      <c r="H64" s="166">
        <v>0.25</v>
      </c>
      <c r="I64" s="167">
        <v>0.62438861716318361</v>
      </c>
      <c r="J64" s="165">
        <v>7602.75</v>
      </c>
      <c r="K64" s="168">
        <v>281301.75</v>
      </c>
      <c r="L64" s="71">
        <v>5</v>
      </c>
      <c r="M64" s="71"/>
      <c r="N64" s="91"/>
      <c r="O64" s="71"/>
      <c r="P64" s="71"/>
      <c r="Q64" s="71"/>
      <c r="R64" s="71"/>
      <c r="S64" s="71"/>
      <c r="T64" s="71"/>
      <c r="U64" s="71"/>
      <c r="V64" s="71"/>
      <c r="W64" s="71"/>
      <c r="X64" s="71"/>
      <c r="Y64" s="71"/>
      <c r="Z64" s="71"/>
      <c r="AA64" s="71"/>
      <c r="AB64" s="71"/>
      <c r="AC64" s="71"/>
      <c r="AD64" s="71"/>
      <c r="AE64" s="71"/>
      <c r="AF64" s="71"/>
      <c r="AG64" s="94"/>
      <c r="AH64" s="71"/>
      <c r="AI64" s="71"/>
      <c r="AJ64" s="71"/>
      <c r="AK64" s="71">
        <f t="shared" si="4"/>
        <v>5</v>
      </c>
      <c r="AL64" s="79">
        <f t="shared" si="5"/>
        <v>38013.75</v>
      </c>
    </row>
    <row r="65" spans="1:38">
      <c r="A65" s="163">
        <v>63</v>
      </c>
      <c r="B65" s="182" t="s">
        <v>735</v>
      </c>
      <c r="C65" s="178" t="s">
        <v>736</v>
      </c>
      <c r="D65" s="185" t="s">
        <v>734</v>
      </c>
      <c r="E65" s="164">
        <v>46</v>
      </c>
      <c r="F65" s="165">
        <v>21814</v>
      </c>
      <c r="G65" s="165">
        <v>11561</v>
      </c>
      <c r="H65" s="166">
        <v>0.25</v>
      </c>
      <c r="I65" s="167">
        <v>0.60251444026771805</v>
      </c>
      <c r="J65" s="165">
        <v>8670.75</v>
      </c>
      <c r="K65" s="168">
        <v>398854.5</v>
      </c>
      <c r="L65" s="71">
        <v>10</v>
      </c>
      <c r="M65" s="71">
        <v>3</v>
      </c>
      <c r="N65" s="91">
        <v>3</v>
      </c>
      <c r="O65" s="71"/>
      <c r="P65" s="71">
        <v>3</v>
      </c>
      <c r="Q65" s="77">
        <v>3</v>
      </c>
      <c r="R65" s="71">
        <v>3</v>
      </c>
      <c r="S65" s="71">
        <v>3</v>
      </c>
      <c r="T65" s="71">
        <v>3</v>
      </c>
      <c r="U65" s="71">
        <v>3</v>
      </c>
      <c r="V65" s="71">
        <v>3</v>
      </c>
      <c r="W65" s="71"/>
      <c r="X65" s="71">
        <v>3</v>
      </c>
      <c r="Y65" s="71">
        <v>3</v>
      </c>
      <c r="Z65" s="71">
        <v>3</v>
      </c>
      <c r="AA65" s="71">
        <v>3</v>
      </c>
      <c r="AB65" s="71">
        <v>3</v>
      </c>
      <c r="AC65" s="71"/>
      <c r="AD65" s="71">
        <v>20</v>
      </c>
      <c r="AE65" s="71">
        <v>2</v>
      </c>
      <c r="AF65" s="71">
        <v>40</v>
      </c>
      <c r="AG65" s="94">
        <v>9</v>
      </c>
      <c r="AH65" s="71"/>
      <c r="AI65" s="71">
        <v>25</v>
      </c>
      <c r="AJ65" s="71">
        <v>2</v>
      </c>
      <c r="AK65" s="71">
        <f t="shared" si="4"/>
        <v>150</v>
      </c>
      <c r="AL65" s="79">
        <f t="shared" si="5"/>
        <v>1300612.5</v>
      </c>
    </row>
    <row r="66" spans="1:38">
      <c r="A66" s="163">
        <v>64</v>
      </c>
      <c r="B66" s="182" t="s">
        <v>737</v>
      </c>
      <c r="C66" s="178" t="s">
        <v>738</v>
      </c>
      <c r="D66" s="185" t="s">
        <v>1</v>
      </c>
      <c r="E66" s="164">
        <v>125</v>
      </c>
      <c r="F66" s="165">
        <v>7210</v>
      </c>
      <c r="G66" s="165">
        <v>1251</v>
      </c>
      <c r="H66" s="166">
        <v>0.20000000000000004</v>
      </c>
      <c r="I66" s="167">
        <v>0.86119278779472952</v>
      </c>
      <c r="J66" s="165">
        <v>1000.8</v>
      </c>
      <c r="K66" s="168">
        <v>125100</v>
      </c>
      <c r="L66" s="71">
        <v>30</v>
      </c>
      <c r="M66" s="71">
        <v>4</v>
      </c>
      <c r="N66" s="91">
        <v>4</v>
      </c>
      <c r="O66" s="71"/>
      <c r="P66" s="71">
        <v>4</v>
      </c>
      <c r="Q66" s="71">
        <v>4</v>
      </c>
      <c r="R66" s="71">
        <v>4</v>
      </c>
      <c r="S66" s="71">
        <v>4</v>
      </c>
      <c r="T66" s="71">
        <v>4</v>
      </c>
      <c r="U66" s="71">
        <v>4</v>
      </c>
      <c r="V66" s="71">
        <v>4</v>
      </c>
      <c r="W66" s="71">
        <v>4</v>
      </c>
      <c r="X66" s="71">
        <v>4</v>
      </c>
      <c r="Y66" s="71">
        <v>4</v>
      </c>
      <c r="Z66" s="71">
        <v>4</v>
      </c>
      <c r="AA66" s="71">
        <v>4</v>
      </c>
      <c r="AB66" s="71">
        <v>4</v>
      </c>
      <c r="AC66" s="71">
        <v>5</v>
      </c>
      <c r="AD66" s="71"/>
      <c r="AE66" s="71"/>
      <c r="AF66" s="71"/>
      <c r="AG66" s="94"/>
      <c r="AH66" s="71">
        <v>3</v>
      </c>
      <c r="AI66" s="71">
        <v>20</v>
      </c>
      <c r="AJ66" s="71"/>
      <c r="AK66" s="71">
        <f t="shared" si="4"/>
        <v>118</v>
      </c>
      <c r="AL66" s="79">
        <f t="shared" si="5"/>
        <v>118094.39999999999</v>
      </c>
    </row>
    <row r="67" spans="1:38">
      <c r="A67" s="163">
        <v>65</v>
      </c>
      <c r="B67" s="182" t="s">
        <v>739</v>
      </c>
      <c r="C67" s="178" t="s">
        <v>740</v>
      </c>
      <c r="D67" s="185" t="s">
        <v>1</v>
      </c>
      <c r="E67" s="164">
        <v>29</v>
      </c>
      <c r="F67" s="165">
        <v>14568</v>
      </c>
      <c r="G67" s="165">
        <v>1545</v>
      </c>
      <c r="H67" s="166">
        <v>0.2</v>
      </c>
      <c r="I67" s="167">
        <v>0.91515650741350907</v>
      </c>
      <c r="J67" s="165">
        <v>1236</v>
      </c>
      <c r="K67" s="168">
        <v>35844</v>
      </c>
      <c r="L67" s="71">
        <v>20</v>
      </c>
      <c r="M67" s="71">
        <v>2</v>
      </c>
      <c r="N67" s="91">
        <v>2</v>
      </c>
      <c r="O67" s="71"/>
      <c r="P67" s="71">
        <v>2</v>
      </c>
      <c r="Q67" s="71">
        <v>2</v>
      </c>
      <c r="R67" s="71">
        <v>2</v>
      </c>
      <c r="S67" s="71">
        <v>2</v>
      </c>
      <c r="T67" s="71">
        <v>2</v>
      </c>
      <c r="U67" s="71">
        <v>2</v>
      </c>
      <c r="V67" s="71">
        <v>2</v>
      </c>
      <c r="W67" s="71">
        <v>2</v>
      </c>
      <c r="X67" s="71">
        <v>2</v>
      </c>
      <c r="Y67" s="71">
        <v>2</v>
      </c>
      <c r="Z67" s="71">
        <v>2</v>
      </c>
      <c r="AA67" s="71">
        <v>2</v>
      </c>
      <c r="AB67" s="71">
        <v>2</v>
      </c>
      <c r="AC67" s="71"/>
      <c r="AD67" s="71"/>
      <c r="AE67" s="71"/>
      <c r="AF67" s="71"/>
      <c r="AG67" s="94"/>
      <c r="AH67" s="71"/>
      <c r="AI67" s="71">
        <v>6</v>
      </c>
      <c r="AJ67" s="71"/>
      <c r="AK67" s="71">
        <f t="shared" si="4"/>
        <v>56</v>
      </c>
      <c r="AL67" s="79">
        <f t="shared" si="5"/>
        <v>69216</v>
      </c>
    </row>
    <row r="68" spans="1:38">
      <c r="A68" s="163">
        <v>66</v>
      </c>
      <c r="B68" s="182" t="s">
        <v>741</v>
      </c>
      <c r="C68" s="177" t="s">
        <v>742</v>
      </c>
      <c r="D68" s="185" t="s">
        <v>1</v>
      </c>
      <c r="E68" s="164">
        <v>26</v>
      </c>
      <c r="F68" s="165">
        <v>5824</v>
      </c>
      <c r="G68" s="165">
        <v>1545</v>
      </c>
      <c r="H68" s="166">
        <v>0.2</v>
      </c>
      <c r="I68" s="167">
        <v>0.78777472527472525</v>
      </c>
      <c r="J68" s="165">
        <v>1236</v>
      </c>
      <c r="K68" s="168">
        <v>32136</v>
      </c>
      <c r="L68" s="71"/>
      <c r="M68" s="71"/>
      <c r="N68" s="91"/>
      <c r="O68" s="71"/>
      <c r="P68" s="71"/>
      <c r="Q68" s="71"/>
      <c r="R68" s="71"/>
      <c r="S68" s="71"/>
      <c r="T68" s="71"/>
      <c r="U68" s="71"/>
      <c r="V68" s="71"/>
      <c r="W68" s="71"/>
      <c r="X68" s="71"/>
      <c r="Y68" s="71"/>
      <c r="Z68" s="71"/>
      <c r="AA68" s="71"/>
      <c r="AB68" s="71"/>
      <c r="AC68" s="71"/>
      <c r="AD68" s="71"/>
      <c r="AE68" s="71"/>
      <c r="AF68" s="71">
        <v>4</v>
      </c>
      <c r="AG68" s="94"/>
      <c r="AH68" s="71"/>
      <c r="AI68" s="71">
        <v>10</v>
      </c>
      <c r="AJ68" s="71">
        <v>3</v>
      </c>
      <c r="AK68" s="71">
        <f t="shared" si="4"/>
        <v>17</v>
      </c>
      <c r="AL68" s="79">
        <f t="shared" si="5"/>
        <v>21012</v>
      </c>
    </row>
    <row r="69" spans="1:38">
      <c r="A69" s="163">
        <v>67</v>
      </c>
      <c r="B69" s="182" t="s">
        <v>743</v>
      </c>
      <c r="C69" s="177" t="s">
        <v>744</v>
      </c>
      <c r="D69" s="185" t="s">
        <v>1</v>
      </c>
      <c r="E69" s="164">
        <v>9</v>
      </c>
      <c r="F69" s="165">
        <v>14725</v>
      </c>
      <c r="G69" s="165">
        <v>1251</v>
      </c>
      <c r="H69" s="166">
        <v>0.20000000000000004</v>
      </c>
      <c r="I69" s="167">
        <v>0.93203395585738535</v>
      </c>
      <c r="J69" s="165">
        <v>1000.8</v>
      </c>
      <c r="K69" s="168">
        <v>9007.1999999999989</v>
      </c>
      <c r="L69" s="77">
        <v>5</v>
      </c>
      <c r="M69" s="71"/>
      <c r="N69" s="91"/>
      <c r="O69" s="71"/>
      <c r="P69" s="71"/>
      <c r="Q69" s="71"/>
      <c r="R69" s="71"/>
      <c r="S69" s="71"/>
      <c r="T69" s="71"/>
      <c r="U69" s="71"/>
      <c r="V69" s="71"/>
      <c r="W69" s="71"/>
      <c r="X69" s="71"/>
      <c r="Y69" s="71"/>
      <c r="Z69" s="71"/>
      <c r="AA69" s="71"/>
      <c r="AB69" s="71"/>
      <c r="AC69" s="71"/>
      <c r="AD69" s="71"/>
      <c r="AE69" s="71"/>
      <c r="AF69" s="71"/>
      <c r="AG69" s="94"/>
      <c r="AH69" s="71"/>
      <c r="AI69" s="71"/>
      <c r="AJ69" s="71"/>
      <c r="AK69" s="77">
        <f t="shared" si="4"/>
        <v>5</v>
      </c>
      <c r="AL69" s="79">
        <f t="shared" si="5"/>
        <v>5004</v>
      </c>
    </row>
    <row r="70" spans="1:38">
      <c r="A70" s="163">
        <v>68</v>
      </c>
      <c r="B70" s="182" t="s">
        <v>745</v>
      </c>
      <c r="C70" s="177" t="s">
        <v>746</v>
      </c>
      <c r="D70" s="185" t="s">
        <v>1</v>
      </c>
      <c r="E70" s="164">
        <v>2</v>
      </c>
      <c r="F70" s="165">
        <v>18310</v>
      </c>
      <c r="G70" s="165">
        <v>1251</v>
      </c>
      <c r="H70" s="166">
        <v>0.20000000000000004</v>
      </c>
      <c r="I70" s="167">
        <v>0.94534134352812671</v>
      </c>
      <c r="J70" s="165">
        <v>1000.8</v>
      </c>
      <c r="K70" s="168">
        <v>2001.6</v>
      </c>
      <c r="L70" s="71"/>
      <c r="M70" s="71"/>
      <c r="N70" s="91"/>
      <c r="O70" s="71"/>
      <c r="P70" s="71"/>
      <c r="Q70" s="71"/>
      <c r="R70" s="71"/>
      <c r="S70" s="71"/>
      <c r="T70" s="71"/>
      <c r="U70" s="71"/>
      <c r="V70" s="71"/>
      <c r="W70" s="71"/>
      <c r="X70" s="71"/>
      <c r="Y70" s="71"/>
      <c r="Z70" s="71"/>
      <c r="AA70" s="71"/>
      <c r="AB70" s="71"/>
      <c r="AC70" s="71"/>
      <c r="AD70" s="71"/>
      <c r="AE70" s="71"/>
      <c r="AF70" s="71">
        <v>5</v>
      </c>
      <c r="AG70" s="94"/>
      <c r="AH70" s="71"/>
      <c r="AI70" s="71"/>
      <c r="AJ70" s="71"/>
      <c r="AK70" s="71">
        <f t="shared" si="4"/>
        <v>5</v>
      </c>
      <c r="AL70" s="79">
        <f t="shared" si="5"/>
        <v>5004</v>
      </c>
    </row>
    <row r="71" spans="1:38">
      <c r="A71" s="163">
        <v>69</v>
      </c>
      <c r="B71" s="182" t="s">
        <v>747</v>
      </c>
      <c r="C71" s="177" t="s">
        <v>748</v>
      </c>
      <c r="D71" s="185" t="s">
        <v>1</v>
      </c>
      <c r="E71" s="164">
        <v>163</v>
      </c>
      <c r="F71" s="165">
        <v>10018</v>
      </c>
      <c r="G71" s="165">
        <v>1545</v>
      </c>
      <c r="H71" s="166">
        <v>0.25</v>
      </c>
      <c r="I71" s="167">
        <v>0.88433320023956874</v>
      </c>
      <c r="J71" s="165">
        <v>1158.75</v>
      </c>
      <c r="K71" s="168">
        <v>188876.25</v>
      </c>
      <c r="L71" s="71">
        <v>30</v>
      </c>
      <c r="M71" s="71">
        <v>8</v>
      </c>
      <c r="N71" s="91">
        <v>8</v>
      </c>
      <c r="O71" s="71"/>
      <c r="P71" s="71">
        <v>8</v>
      </c>
      <c r="Q71" s="71">
        <v>8</v>
      </c>
      <c r="R71" s="71">
        <v>8</v>
      </c>
      <c r="S71" s="71">
        <v>8</v>
      </c>
      <c r="T71" s="71">
        <v>8</v>
      </c>
      <c r="U71" s="71">
        <v>8</v>
      </c>
      <c r="V71" s="71">
        <v>8</v>
      </c>
      <c r="W71" s="71">
        <v>8</v>
      </c>
      <c r="X71" s="71">
        <v>4</v>
      </c>
      <c r="Y71" s="71">
        <v>4</v>
      </c>
      <c r="Z71" s="71">
        <v>4</v>
      </c>
      <c r="AA71" s="71">
        <v>8</v>
      </c>
      <c r="AB71" s="71">
        <v>4</v>
      </c>
      <c r="AC71" s="71"/>
      <c r="AD71" s="71"/>
      <c r="AE71" s="71"/>
      <c r="AF71" s="71">
        <v>10</v>
      </c>
      <c r="AG71" s="94"/>
      <c r="AH71" s="71">
        <v>2</v>
      </c>
      <c r="AI71" s="71"/>
      <c r="AJ71" s="71"/>
      <c r="AK71" s="71">
        <f t="shared" si="4"/>
        <v>146</v>
      </c>
      <c r="AL71" s="79">
        <f t="shared" si="5"/>
        <v>169177.5</v>
      </c>
    </row>
    <row r="72" spans="1:38">
      <c r="A72" s="163">
        <v>70</v>
      </c>
      <c r="B72" s="182" t="s">
        <v>749</v>
      </c>
      <c r="C72" s="177" t="s">
        <v>750</v>
      </c>
      <c r="D72" s="185" t="s">
        <v>1</v>
      </c>
      <c r="E72" s="164">
        <v>100</v>
      </c>
      <c r="F72" s="165">
        <v>10136</v>
      </c>
      <c r="G72" s="165">
        <v>1545</v>
      </c>
      <c r="H72" s="166">
        <v>0.2</v>
      </c>
      <c r="I72" s="167">
        <v>0.87805840568271509</v>
      </c>
      <c r="J72" s="165">
        <v>1236</v>
      </c>
      <c r="K72" s="168">
        <v>123600</v>
      </c>
      <c r="L72" s="71">
        <v>20</v>
      </c>
      <c r="M72" s="71">
        <v>8</v>
      </c>
      <c r="N72" s="91">
        <v>8</v>
      </c>
      <c r="O72" s="71"/>
      <c r="P72" s="71">
        <v>8</v>
      </c>
      <c r="Q72" s="71">
        <v>8</v>
      </c>
      <c r="R72" s="71">
        <v>8</v>
      </c>
      <c r="S72" s="71">
        <v>8</v>
      </c>
      <c r="T72" s="71">
        <v>8</v>
      </c>
      <c r="U72" s="71">
        <v>8</v>
      </c>
      <c r="V72" s="71">
        <v>8</v>
      </c>
      <c r="W72" s="71">
        <v>8</v>
      </c>
      <c r="X72" s="71">
        <v>4</v>
      </c>
      <c r="Y72" s="71">
        <v>4</v>
      </c>
      <c r="Z72" s="71">
        <v>4</v>
      </c>
      <c r="AA72" s="71">
        <v>8</v>
      </c>
      <c r="AB72" s="71">
        <v>4</v>
      </c>
      <c r="AC72" s="71"/>
      <c r="AD72" s="71"/>
      <c r="AE72" s="71"/>
      <c r="AF72" s="71">
        <v>9</v>
      </c>
      <c r="AG72" s="94"/>
      <c r="AH72" s="71">
        <v>2</v>
      </c>
      <c r="AI72" s="71">
        <v>4</v>
      </c>
      <c r="AJ72" s="71"/>
      <c r="AK72" s="71">
        <f t="shared" si="4"/>
        <v>139</v>
      </c>
      <c r="AL72" s="79">
        <f t="shared" si="5"/>
        <v>171804</v>
      </c>
    </row>
    <row r="73" spans="1:38">
      <c r="A73" s="163">
        <v>71</v>
      </c>
      <c r="B73" s="182" t="s">
        <v>751</v>
      </c>
      <c r="C73" s="177" t="s">
        <v>752</v>
      </c>
      <c r="D73" s="185" t="s">
        <v>1</v>
      </c>
      <c r="E73" s="164">
        <v>0</v>
      </c>
      <c r="F73" s="165">
        <v>0</v>
      </c>
      <c r="G73" s="165">
        <v>0</v>
      </c>
      <c r="H73" s="166">
        <v>0</v>
      </c>
      <c r="I73" s="167">
        <v>0</v>
      </c>
      <c r="J73" s="165">
        <v>0</v>
      </c>
      <c r="K73" s="168">
        <v>0</v>
      </c>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row>
    <row r="74" spans="1:38">
      <c r="A74" s="163">
        <v>72</v>
      </c>
      <c r="B74" s="182" t="s">
        <v>753</v>
      </c>
      <c r="C74" s="177" t="s">
        <v>754</v>
      </c>
      <c r="D74" s="185" t="s">
        <v>755</v>
      </c>
      <c r="E74" s="164">
        <v>157</v>
      </c>
      <c r="F74" s="165">
        <v>9243</v>
      </c>
      <c r="G74" s="165">
        <v>1444</v>
      </c>
      <c r="H74" s="166">
        <v>0.25</v>
      </c>
      <c r="I74" s="167">
        <v>0.8828302499188575</v>
      </c>
      <c r="J74" s="165">
        <v>1083</v>
      </c>
      <c r="K74" s="168">
        <v>170031</v>
      </c>
      <c r="L74" s="71">
        <v>20</v>
      </c>
      <c r="M74" s="77">
        <v>8</v>
      </c>
      <c r="N74" s="198">
        <v>8</v>
      </c>
      <c r="O74" s="71"/>
      <c r="P74" s="77">
        <v>8</v>
      </c>
      <c r="Q74" s="71">
        <v>8</v>
      </c>
      <c r="R74" s="71">
        <v>8</v>
      </c>
      <c r="S74" s="71">
        <v>8</v>
      </c>
      <c r="T74" s="77">
        <v>8</v>
      </c>
      <c r="U74" s="77">
        <v>8</v>
      </c>
      <c r="V74" s="77">
        <v>8</v>
      </c>
      <c r="W74" s="77">
        <v>8</v>
      </c>
      <c r="X74" s="77">
        <v>4</v>
      </c>
      <c r="Y74" s="77">
        <v>4</v>
      </c>
      <c r="Z74" s="77">
        <v>4</v>
      </c>
      <c r="AA74" s="94">
        <v>8</v>
      </c>
      <c r="AB74" s="71">
        <v>4</v>
      </c>
      <c r="AC74" s="94">
        <v>5</v>
      </c>
      <c r="AD74" s="71"/>
      <c r="AE74" s="94">
        <v>10</v>
      </c>
      <c r="AF74" s="71">
        <v>5</v>
      </c>
      <c r="AG74" s="94"/>
      <c r="AH74" s="71">
        <v>5</v>
      </c>
      <c r="AI74" s="94" t="s">
        <v>1394</v>
      </c>
      <c r="AJ74" s="71">
        <v>3</v>
      </c>
      <c r="AK74" s="94">
        <f t="shared" ref="AK74:AK75" si="6">SUBTOTAL(9,L74:AJ74)</f>
        <v>152</v>
      </c>
      <c r="AL74" s="79">
        <f t="shared" ref="AL74:AL75" si="7">+J74*AK74</f>
        <v>164616</v>
      </c>
    </row>
    <row r="75" spans="1:38">
      <c r="A75" s="163">
        <v>73</v>
      </c>
      <c r="B75" s="182" t="s">
        <v>756</v>
      </c>
      <c r="C75" s="177" t="s">
        <v>757</v>
      </c>
      <c r="D75" s="185" t="s">
        <v>758</v>
      </c>
      <c r="E75" s="164">
        <v>88</v>
      </c>
      <c r="F75" s="165">
        <v>24261</v>
      </c>
      <c r="G75" s="165">
        <v>1237</v>
      </c>
      <c r="H75" s="166">
        <v>0.19999999999999998</v>
      </c>
      <c r="I75" s="167">
        <v>0.95921025514199743</v>
      </c>
      <c r="J75" s="165">
        <v>989.6</v>
      </c>
      <c r="K75" s="168">
        <v>87084.800000000003</v>
      </c>
      <c r="L75" s="71">
        <v>15</v>
      </c>
      <c r="M75" s="71"/>
      <c r="N75" s="91"/>
      <c r="O75" s="71"/>
      <c r="P75" s="71"/>
      <c r="Q75" s="71"/>
      <c r="R75" s="71"/>
      <c r="S75" s="71"/>
      <c r="T75" s="71"/>
      <c r="U75" s="71"/>
      <c r="V75" s="71"/>
      <c r="W75" s="71"/>
      <c r="X75" s="71"/>
      <c r="Y75" s="71"/>
      <c r="Z75" s="71"/>
      <c r="AA75" s="71"/>
      <c r="AB75" s="71"/>
      <c r="AC75" s="71"/>
      <c r="AD75" s="71"/>
      <c r="AE75" s="71"/>
      <c r="AF75" s="71">
        <v>5</v>
      </c>
      <c r="AG75" s="94"/>
      <c r="AH75" s="71"/>
      <c r="AI75" s="71">
        <v>5</v>
      </c>
      <c r="AJ75" s="71">
        <v>3</v>
      </c>
      <c r="AK75" s="71">
        <f t="shared" si="6"/>
        <v>28</v>
      </c>
      <c r="AL75" s="79">
        <f t="shared" si="7"/>
        <v>27708.799999999999</v>
      </c>
    </row>
    <row r="76" spans="1:38">
      <c r="A76" s="163">
        <v>74</v>
      </c>
      <c r="B76" s="182" t="s">
        <v>759</v>
      </c>
      <c r="C76" s="177" t="s">
        <v>760</v>
      </c>
      <c r="D76" s="185" t="s">
        <v>761</v>
      </c>
      <c r="E76" s="164">
        <v>0</v>
      </c>
      <c r="F76" s="165">
        <v>0</v>
      </c>
      <c r="G76" s="165">
        <v>0</v>
      </c>
      <c r="H76" s="166">
        <v>0</v>
      </c>
      <c r="I76" s="167">
        <v>0</v>
      </c>
      <c r="J76" s="165">
        <v>0</v>
      </c>
      <c r="K76" s="168">
        <v>0</v>
      </c>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row>
    <row r="77" spans="1:38">
      <c r="A77" s="163">
        <v>75</v>
      </c>
      <c r="B77" s="182" t="s">
        <v>762</v>
      </c>
      <c r="C77" s="177" t="s">
        <v>763</v>
      </c>
      <c r="D77" s="185" t="s">
        <v>1</v>
      </c>
      <c r="E77" s="164">
        <v>147</v>
      </c>
      <c r="F77" s="165">
        <v>1116</v>
      </c>
      <c r="G77" s="165">
        <v>649</v>
      </c>
      <c r="H77" s="166">
        <v>0.19999999999999993</v>
      </c>
      <c r="I77" s="167">
        <v>0.53476702508960572</v>
      </c>
      <c r="J77" s="165">
        <v>519.20000000000005</v>
      </c>
      <c r="K77" s="168">
        <v>76322.400000000009</v>
      </c>
      <c r="L77" s="71">
        <v>20</v>
      </c>
      <c r="M77" s="71">
        <v>8</v>
      </c>
      <c r="N77" s="91">
        <v>8</v>
      </c>
      <c r="O77" s="71"/>
      <c r="P77" s="71">
        <v>8</v>
      </c>
      <c r="Q77" s="71">
        <v>8</v>
      </c>
      <c r="R77" s="71">
        <v>8</v>
      </c>
      <c r="S77" s="71">
        <v>8</v>
      </c>
      <c r="T77" s="71">
        <v>8</v>
      </c>
      <c r="U77" s="71">
        <v>8</v>
      </c>
      <c r="V77" s="71">
        <v>8</v>
      </c>
      <c r="W77" s="71">
        <v>8</v>
      </c>
      <c r="X77" s="71">
        <v>4</v>
      </c>
      <c r="Y77" s="71">
        <v>4</v>
      </c>
      <c r="Z77" s="71">
        <v>4</v>
      </c>
      <c r="AA77" s="71">
        <v>8</v>
      </c>
      <c r="AB77" s="71">
        <v>4</v>
      </c>
      <c r="AC77" s="71">
        <v>10</v>
      </c>
      <c r="AD77" s="71">
        <v>10</v>
      </c>
      <c r="AE77" s="71">
        <v>10</v>
      </c>
      <c r="AF77" s="71">
        <v>4</v>
      </c>
      <c r="AG77" s="94"/>
      <c r="AH77" s="71">
        <v>5</v>
      </c>
      <c r="AI77" s="71">
        <v>6</v>
      </c>
      <c r="AJ77" s="71"/>
      <c r="AK77" s="71">
        <f t="shared" ref="AK77:AK81" si="8">SUBTOTAL(9,L77:AJ77)</f>
        <v>169</v>
      </c>
      <c r="AL77" s="79">
        <f t="shared" ref="AL77:AL81" si="9">+J77*AK77</f>
        <v>87744.8</v>
      </c>
    </row>
    <row r="78" spans="1:38">
      <c r="A78" s="163">
        <v>76</v>
      </c>
      <c r="B78" s="182" t="s">
        <v>764</v>
      </c>
      <c r="C78" s="177" t="s">
        <v>765</v>
      </c>
      <c r="D78" s="185" t="s">
        <v>1</v>
      </c>
      <c r="E78" s="164">
        <v>94</v>
      </c>
      <c r="F78" s="165">
        <v>734</v>
      </c>
      <c r="G78" s="165">
        <v>272</v>
      </c>
      <c r="H78" s="166">
        <v>0.2</v>
      </c>
      <c r="I78" s="167">
        <v>0.70354223433242513</v>
      </c>
      <c r="J78" s="165">
        <v>217.6</v>
      </c>
      <c r="K78" s="168">
        <v>20454.399999999998</v>
      </c>
      <c r="L78" s="71">
        <v>30</v>
      </c>
      <c r="M78" s="71">
        <v>2</v>
      </c>
      <c r="N78" s="91">
        <v>2</v>
      </c>
      <c r="O78" s="71"/>
      <c r="P78" s="71">
        <v>2</v>
      </c>
      <c r="Q78" s="71">
        <v>2</v>
      </c>
      <c r="R78" s="71">
        <v>2</v>
      </c>
      <c r="S78" s="71">
        <v>2</v>
      </c>
      <c r="T78" s="71">
        <v>2</v>
      </c>
      <c r="U78" s="71">
        <v>2</v>
      </c>
      <c r="V78" s="71">
        <v>2</v>
      </c>
      <c r="W78" s="71">
        <v>2</v>
      </c>
      <c r="X78" s="71">
        <v>2</v>
      </c>
      <c r="Y78" s="71">
        <v>2</v>
      </c>
      <c r="Z78" s="71">
        <v>2</v>
      </c>
      <c r="AA78" s="71">
        <v>2</v>
      </c>
      <c r="AB78" s="71">
        <v>2</v>
      </c>
      <c r="AC78" s="71"/>
      <c r="AD78" s="71"/>
      <c r="AE78" s="71">
        <v>10</v>
      </c>
      <c r="AF78" s="71">
        <v>13</v>
      </c>
      <c r="AG78" s="94"/>
      <c r="AH78" s="71">
        <v>10</v>
      </c>
      <c r="AI78" s="71">
        <v>8</v>
      </c>
      <c r="AJ78" s="71">
        <v>4</v>
      </c>
      <c r="AK78" s="71">
        <f t="shared" si="8"/>
        <v>105</v>
      </c>
      <c r="AL78" s="79">
        <f t="shared" si="9"/>
        <v>22848</v>
      </c>
    </row>
    <row r="79" spans="1:38">
      <c r="A79" s="163">
        <v>77</v>
      </c>
      <c r="B79" s="182" t="s">
        <v>766</v>
      </c>
      <c r="C79" s="177" t="s">
        <v>767</v>
      </c>
      <c r="D79" s="185" t="s">
        <v>1</v>
      </c>
      <c r="E79" s="164">
        <v>131</v>
      </c>
      <c r="F79" s="165">
        <v>433</v>
      </c>
      <c r="G79" s="165">
        <v>272</v>
      </c>
      <c r="H79" s="166">
        <v>0.2</v>
      </c>
      <c r="I79" s="167">
        <v>0.49745958429561199</v>
      </c>
      <c r="J79" s="165">
        <v>217.6</v>
      </c>
      <c r="K79" s="168">
        <v>28505.599999999999</v>
      </c>
      <c r="L79" s="71">
        <v>30</v>
      </c>
      <c r="M79" s="71">
        <v>8</v>
      </c>
      <c r="N79" s="91">
        <v>8</v>
      </c>
      <c r="O79" s="71"/>
      <c r="P79" s="71">
        <v>8</v>
      </c>
      <c r="Q79" s="71">
        <v>8</v>
      </c>
      <c r="R79" s="71">
        <v>8</v>
      </c>
      <c r="S79" s="71">
        <v>8</v>
      </c>
      <c r="T79" s="71">
        <v>8</v>
      </c>
      <c r="U79" s="77">
        <v>2</v>
      </c>
      <c r="V79" s="71">
        <v>8</v>
      </c>
      <c r="W79" s="71">
        <v>8</v>
      </c>
      <c r="X79" s="71">
        <v>4</v>
      </c>
      <c r="Y79" s="71">
        <v>4</v>
      </c>
      <c r="Z79" s="71">
        <v>4</v>
      </c>
      <c r="AA79" s="71">
        <v>8</v>
      </c>
      <c r="AB79" s="71">
        <v>4</v>
      </c>
      <c r="AC79" s="71"/>
      <c r="AD79" s="71">
        <v>20</v>
      </c>
      <c r="AE79" s="71"/>
      <c r="AF79" s="71">
        <v>6</v>
      </c>
      <c r="AG79" s="94"/>
      <c r="AH79" s="71">
        <v>10</v>
      </c>
      <c r="AI79" s="71">
        <v>10</v>
      </c>
      <c r="AJ79" s="71"/>
      <c r="AK79" s="94">
        <f t="shared" si="8"/>
        <v>174</v>
      </c>
      <c r="AL79" s="79">
        <f t="shared" si="9"/>
        <v>37862.400000000001</v>
      </c>
    </row>
    <row r="80" spans="1:38">
      <c r="A80" s="163">
        <v>78</v>
      </c>
      <c r="B80" s="178" t="s">
        <v>768</v>
      </c>
      <c r="C80" s="177" t="s">
        <v>769</v>
      </c>
      <c r="D80" s="185" t="s">
        <v>755</v>
      </c>
      <c r="E80" s="164">
        <v>141</v>
      </c>
      <c r="F80" s="165">
        <v>1676</v>
      </c>
      <c r="G80" s="165">
        <v>228</v>
      </c>
      <c r="H80" s="166">
        <v>0.19999999999999998</v>
      </c>
      <c r="I80" s="167">
        <v>0.89116945107398571</v>
      </c>
      <c r="J80" s="165">
        <v>182.4</v>
      </c>
      <c r="K80" s="168">
        <v>25718.400000000001</v>
      </c>
      <c r="L80" s="71">
        <v>20</v>
      </c>
      <c r="M80" s="71">
        <v>8</v>
      </c>
      <c r="N80" s="91">
        <v>8</v>
      </c>
      <c r="O80" s="71"/>
      <c r="P80" s="71">
        <v>8</v>
      </c>
      <c r="Q80" s="71">
        <v>8</v>
      </c>
      <c r="R80" s="71">
        <v>8</v>
      </c>
      <c r="S80" s="71">
        <v>8</v>
      </c>
      <c r="T80" s="71">
        <v>8</v>
      </c>
      <c r="U80" s="71">
        <v>8</v>
      </c>
      <c r="V80" s="71">
        <v>8</v>
      </c>
      <c r="W80" s="71">
        <v>8</v>
      </c>
      <c r="X80" s="71">
        <v>4</v>
      </c>
      <c r="Y80" s="71">
        <v>4</v>
      </c>
      <c r="Z80" s="71">
        <v>4</v>
      </c>
      <c r="AA80" s="71">
        <v>8</v>
      </c>
      <c r="AB80" s="71">
        <v>4</v>
      </c>
      <c r="AC80" s="71">
        <v>10</v>
      </c>
      <c r="AD80" s="71"/>
      <c r="AE80" s="71">
        <v>10</v>
      </c>
      <c r="AF80" s="71">
        <v>6</v>
      </c>
      <c r="AG80" s="94"/>
      <c r="AH80" s="71">
        <v>5</v>
      </c>
      <c r="AI80" s="71"/>
      <c r="AJ80" s="71">
        <v>3</v>
      </c>
      <c r="AK80" s="71">
        <f t="shared" si="8"/>
        <v>158</v>
      </c>
      <c r="AL80" s="79">
        <f t="shared" si="9"/>
        <v>28819.200000000001</v>
      </c>
    </row>
    <row r="81" spans="1:38">
      <c r="A81" s="163">
        <v>79</v>
      </c>
      <c r="B81" s="178" t="s">
        <v>770</v>
      </c>
      <c r="C81" s="177" t="s">
        <v>771</v>
      </c>
      <c r="D81" s="185" t="s">
        <v>1</v>
      </c>
      <c r="E81" s="164">
        <v>99</v>
      </c>
      <c r="F81" s="165">
        <v>471</v>
      </c>
      <c r="G81" s="165">
        <v>209</v>
      </c>
      <c r="H81" s="166">
        <v>0.20000000000000007</v>
      </c>
      <c r="I81" s="167">
        <v>0.64501061571125273</v>
      </c>
      <c r="J81" s="165">
        <v>167.2</v>
      </c>
      <c r="K81" s="168">
        <v>16552.8</v>
      </c>
      <c r="L81" s="71">
        <v>20</v>
      </c>
      <c r="M81" s="71">
        <v>2</v>
      </c>
      <c r="N81" s="91">
        <v>2</v>
      </c>
      <c r="O81" s="71"/>
      <c r="P81" s="71">
        <v>2</v>
      </c>
      <c r="Q81" s="71">
        <v>2</v>
      </c>
      <c r="R81" s="71">
        <v>2</v>
      </c>
      <c r="S81" s="71">
        <v>2</v>
      </c>
      <c r="T81" s="71">
        <v>2</v>
      </c>
      <c r="U81" s="71">
        <v>2</v>
      </c>
      <c r="V81" s="71">
        <v>2</v>
      </c>
      <c r="W81" s="71"/>
      <c r="X81" s="71">
        <v>2</v>
      </c>
      <c r="Y81" s="71">
        <v>2</v>
      </c>
      <c r="Z81" s="71">
        <v>2</v>
      </c>
      <c r="AA81" s="71">
        <v>2</v>
      </c>
      <c r="AB81" s="71">
        <v>2</v>
      </c>
      <c r="AC81" s="71"/>
      <c r="AD81" s="71"/>
      <c r="AE81" s="71"/>
      <c r="AF81" s="71">
        <v>6</v>
      </c>
      <c r="AG81" s="94"/>
      <c r="AH81" s="71"/>
      <c r="AI81" s="71"/>
      <c r="AJ81" s="71"/>
      <c r="AK81" s="71">
        <f t="shared" si="8"/>
        <v>54</v>
      </c>
      <c r="AL81" s="79">
        <f t="shared" si="9"/>
        <v>9028.7999999999993</v>
      </c>
    </row>
    <row r="82" spans="1:38">
      <c r="A82" s="163">
        <v>80</v>
      </c>
      <c r="B82" s="182" t="s">
        <v>772</v>
      </c>
      <c r="C82" s="177" t="s">
        <v>773</v>
      </c>
      <c r="D82" s="185" t="s">
        <v>1</v>
      </c>
      <c r="E82" s="164">
        <v>0</v>
      </c>
      <c r="F82" s="165">
        <v>0</v>
      </c>
      <c r="G82" s="165">
        <v>0</v>
      </c>
      <c r="H82" s="166">
        <v>0</v>
      </c>
      <c r="I82" s="167">
        <v>0</v>
      </c>
      <c r="J82" s="165">
        <v>0</v>
      </c>
      <c r="K82" s="168">
        <v>0</v>
      </c>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row>
    <row r="83" spans="1:38">
      <c r="A83" s="163">
        <v>81</v>
      </c>
      <c r="B83" s="182" t="s">
        <v>774</v>
      </c>
      <c r="C83" s="177" t="s">
        <v>775</v>
      </c>
      <c r="D83" s="185" t="s">
        <v>1</v>
      </c>
      <c r="E83" s="164">
        <v>0</v>
      </c>
      <c r="F83" s="165">
        <v>0</v>
      </c>
      <c r="G83" s="165">
        <v>0</v>
      </c>
      <c r="H83" s="166">
        <v>0</v>
      </c>
      <c r="I83" s="167">
        <v>0</v>
      </c>
      <c r="J83" s="165">
        <v>0</v>
      </c>
      <c r="K83" s="168">
        <v>0</v>
      </c>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row>
    <row r="84" spans="1:38">
      <c r="A84" s="163">
        <v>82</v>
      </c>
      <c r="B84" s="182" t="s">
        <v>776</v>
      </c>
      <c r="C84" s="177" t="s">
        <v>777</v>
      </c>
      <c r="D84" s="185" t="s">
        <v>1</v>
      </c>
      <c r="E84" s="164">
        <v>99</v>
      </c>
      <c r="F84" s="165">
        <v>4330</v>
      </c>
      <c r="G84" s="165">
        <v>2180</v>
      </c>
      <c r="H84" s="166">
        <v>0.25</v>
      </c>
      <c r="I84" s="167">
        <v>0.62240184757505768</v>
      </c>
      <c r="J84" s="165">
        <v>1635</v>
      </c>
      <c r="K84" s="168">
        <v>161865</v>
      </c>
      <c r="L84" s="71">
        <v>20</v>
      </c>
      <c r="M84" s="71">
        <v>8</v>
      </c>
      <c r="N84" s="91">
        <v>8</v>
      </c>
      <c r="O84" s="71"/>
      <c r="P84" s="71">
        <v>8</v>
      </c>
      <c r="Q84" s="71">
        <v>8</v>
      </c>
      <c r="R84" s="71">
        <v>8</v>
      </c>
      <c r="S84" s="71">
        <v>8</v>
      </c>
      <c r="T84" s="71">
        <v>8</v>
      </c>
      <c r="U84" s="71">
        <v>8</v>
      </c>
      <c r="V84" s="71">
        <v>8</v>
      </c>
      <c r="W84" s="71"/>
      <c r="X84" s="71">
        <v>4</v>
      </c>
      <c r="Y84" s="71">
        <v>4</v>
      </c>
      <c r="Z84" s="71">
        <v>4</v>
      </c>
      <c r="AA84" s="71">
        <v>8</v>
      </c>
      <c r="AB84" s="71">
        <v>4</v>
      </c>
      <c r="AC84" s="71">
        <v>5</v>
      </c>
      <c r="AD84" s="71"/>
      <c r="AE84" s="71"/>
      <c r="AF84" s="71">
        <v>12</v>
      </c>
      <c r="AG84" s="94"/>
      <c r="AH84" s="71"/>
      <c r="AI84" s="71">
        <v>5</v>
      </c>
      <c r="AJ84" s="71">
        <v>2</v>
      </c>
      <c r="AK84" s="71">
        <f t="shared" ref="AK84:AK87" si="10">SUBTOTAL(9,L84:AJ84)</f>
        <v>140</v>
      </c>
      <c r="AL84" s="79">
        <f t="shared" ref="AL84:AL87" si="11">+J84*AK84</f>
        <v>228900</v>
      </c>
    </row>
    <row r="85" spans="1:38">
      <c r="A85" s="163">
        <v>83</v>
      </c>
      <c r="B85" s="182" t="s">
        <v>778</v>
      </c>
      <c r="C85" s="177" t="s">
        <v>779</v>
      </c>
      <c r="D85" s="185" t="s">
        <v>1</v>
      </c>
      <c r="E85" s="164">
        <v>42</v>
      </c>
      <c r="F85" s="165">
        <v>4319</v>
      </c>
      <c r="G85" s="165">
        <v>2180</v>
      </c>
      <c r="H85" s="166">
        <v>0.2</v>
      </c>
      <c r="I85" s="167">
        <v>0.59620282472794628</v>
      </c>
      <c r="J85" s="165">
        <v>1744</v>
      </c>
      <c r="K85" s="168">
        <v>73248</v>
      </c>
      <c r="L85" s="71"/>
      <c r="M85" s="71"/>
      <c r="N85" s="91"/>
      <c r="O85" s="71"/>
      <c r="P85" s="71"/>
      <c r="Q85" s="71"/>
      <c r="R85" s="71"/>
      <c r="S85" s="71"/>
      <c r="T85" s="71"/>
      <c r="U85" s="71"/>
      <c r="V85" s="71"/>
      <c r="W85" s="71"/>
      <c r="X85" s="71"/>
      <c r="Y85" s="71"/>
      <c r="Z85" s="71"/>
      <c r="AA85" s="71"/>
      <c r="AB85" s="71"/>
      <c r="AC85" s="71"/>
      <c r="AD85" s="71"/>
      <c r="AE85" s="71"/>
      <c r="AF85" s="71"/>
      <c r="AG85" s="94"/>
      <c r="AH85" s="71"/>
      <c r="AI85" s="71"/>
      <c r="AJ85" s="71"/>
      <c r="AK85" s="71">
        <f t="shared" si="10"/>
        <v>0</v>
      </c>
      <c r="AL85" s="79">
        <f t="shared" si="11"/>
        <v>0</v>
      </c>
    </row>
    <row r="86" spans="1:38">
      <c r="A86" s="163">
        <v>84</v>
      </c>
      <c r="B86" s="182" t="s">
        <v>780</v>
      </c>
      <c r="C86" s="177" t="s">
        <v>781</v>
      </c>
      <c r="D86" s="185" t="s">
        <v>1</v>
      </c>
      <c r="E86" s="164">
        <v>55</v>
      </c>
      <c r="F86" s="165">
        <v>5280</v>
      </c>
      <c r="G86" s="165">
        <v>2617</v>
      </c>
      <c r="H86" s="166">
        <v>0.20000000000000004</v>
      </c>
      <c r="I86" s="167">
        <v>0.60348484848484851</v>
      </c>
      <c r="J86" s="165">
        <v>2093.6</v>
      </c>
      <c r="K86" s="168">
        <v>115148</v>
      </c>
      <c r="L86" s="71"/>
      <c r="M86" s="71"/>
      <c r="N86" s="91"/>
      <c r="O86" s="71"/>
      <c r="P86" s="71"/>
      <c r="Q86" s="71"/>
      <c r="R86" s="71"/>
      <c r="S86" s="71"/>
      <c r="T86" s="71"/>
      <c r="U86" s="71"/>
      <c r="V86" s="71"/>
      <c r="W86" s="71"/>
      <c r="X86" s="71"/>
      <c r="Y86" s="71"/>
      <c r="Z86" s="71"/>
      <c r="AA86" s="71"/>
      <c r="AB86" s="71"/>
      <c r="AC86" s="71"/>
      <c r="AD86" s="71">
        <v>4</v>
      </c>
      <c r="AE86" s="71">
        <v>10</v>
      </c>
      <c r="AF86" s="71">
        <v>12</v>
      </c>
      <c r="AG86" s="94"/>
      <c r="AH86" s="71"/>
      <c r="AI86" s="71">
        <v>5</v>
      </c>
      <c r="AJ86" s="71"/>
      <c r="AK86" s="71">
        <f t="shared" si="10"/>
        <v>31</v>
      </c>
      <c r="AL86" s="79">
        <f t="shared" si="11"/>
        <v>64901.599999999999</v>
      </c>
    </row>
    <row r="87" spans="1:38">
      <c r="A87" s="163">
        <v>85</v>
      </c>
      <c r="B87" s="182" t="s">
        <v>782</v>
      </c>
      <c r="C87" s="177" t="s">
        <v>783</v>
      </c>
      <c r="D87" s="185" t="s">
        <v>1</v>
      </c>
      <c r="E87" s="164">
        <v>32</v>
      </c>
      <c r="F87" s="165">
        <v>5262</v>
      </c>
      <c r="G87" s="165">
        <v>2617</v>
      </c>
      <c r="H87" s="166">
        <v>0.20000000000000004</v>
      </c>
      <c r="I87" s="167">
        <v>0.60212846826301791</v>
      </c>
      <c r="J87" s="165">
        <v>2093.6</v>
      </c>
      <c r="K87" s="168">
        <v>66995.199999999997</v>
      </c>
      <c r="L87" s="71"/>
      <c r="M87" s="71"/>
      <c r="N87" s="91"/>
      <c r="O87" s="71"/>
      <c r="P87" s="71"/>
      <c r="Q87" s="71"/>
      <c r="R87" s="71"/>
      <c r="S87" s="71"/>
      <c r="T87" s="71"/>
      <c r="U87" s="71"/>
      <c r="V87" s="71"/>
      <c r="W87" s="71"/>
      <c r="X87" s="71"/>
      <c r="Y87" s="71"/>
      <c r="Z87" s="71"/>
      <c r="AA87" s="71"/>
      <c r="AB87" s="71"/>
      <c r="AC87" s="71"/>
      <c r="AD87" s="71"/>
      <c r="AE87" s="71"/>
      <c r="AF87" s="71">
        <v>12</v>
      </c>
      <c r="AG87" s="94"/>
      <c r="AH87" s="71"/>
      <c r="AI87" s="71">
        <v>5</v>
      </c>
      <c r="AJ87" s="71"/>
      <c r="AK87" s="71">
        <f t="shared" si="10"/>
        <v>17</v>
      </c>
      <c r="AL87" s="79">
        <f t="shared" si="11"/>
        <v>35591.199999999997</v>
      </c>
    </row>
    <row r="88" spans="1:38">
      <c r="A88" s="163">
        <v>86</v>
      </c>
      <c r="B88" s="182" t="s">
        <v>784</v>
      </c>
      <c r="C88" s="177" t="s">
        <v>785</v>
      </c>
      <c r="D88" s="185" t="s">
        <v>1</v>
      </c>
      <c r="E88" s="164">
        <v>0</v>
      </c>
      <c r="F88" s="165">
        <v>0</v>
      </c>
      <c r="G88" s="165">
        <v>0</v>
      </c>
      <c r="H88" s="166">
        <v>0</v>
      </c>
      <c r="I88" s="167">
        <v>0</v>
      </c>
      <c r="J88" s="165">
        <v>0</v>
      </c>
      <c r="K88" s="168">
        <v>0</v>
      </c>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row>
    <row r="89" spans="1:38">
      <c r="A89" s="163">
        <v>87</v>
      </c>
      <c r="B89" s="182" t="s">
        <v>786</v>
      </c>
      <c r="C89" s="177" t="s">
        <v>787</v>
      </c>
      <c r="D89" s="185" t="s">
        <v>1</v>
      </c>
      <c r="E89" s="164">
        <v>63</v>
      </c>
      <c r="F89" s="165">
        <v>9752</v>
      </c>
      <c r="G89" s="165">
        <v>3337</v>
      </c>
      <c r="H89" s="166">
        <v>0.25</v>
      </c>
      <c r="I89" s="167">
        <v>0.74336033634126331</v>
      </c>
      <c r="J89" s="165">
        <v>2502.75</v>
      </c>
      <c r="K89" s="168">
        <v>157673.25</v>
      </c>
      <c r="L89" s="71"/>
      <c r="M89" s="71"/>
      <c r="N89" s="91"/>
      <c r="O89" s="71"/>
      <c r="P89" s="71"/>
      <c r="Q89" s="71"/>
      <c r="R89" s="71"/>
      <c r="S89" s="71"/>
      <c r="T89" s="71"/>
      <c r="U89" s="71"/>
      <c r="V89" s="71"/>
      <c r="W89" s="71"/>
      <c r="X89" s="71"/>
      <c r="Y89" s="71"/>
      <c r="Z89" s="71"/>
      <c r="AA89" s="71"/>
      <c r="AB89" s="71"/>
      <c r="AC89" s="71">
        <v>10</v>
      </c>
      <c r="AD89" s="71">
        <v>15</v>
      </c>
      <c r="AE89" s="71">
        <v>10</v>
      </c>
      <c r="AF89" s="71"/>
      <c r="AG89" s="94">
        <v>5</v>
      </c>
      <c r="AH89" s="71"/>
      <c r="AI89" s="71">
        <v>10</v>
      </c>
      <c r="AJ89" s="71"/>
      <c r="AK89" s="71">
        <f>SUBTOTAL(9,L89:AJ89)</f>
        <v>50</v>
      </c>
      <c r="AL89" s="79">
        <f>+J89*AK89</f>
        <v>125137.5</v>
      </c>
    </row>
    <row r="90" spans="1:38">
      <c r="A90" s="163">
        <v>88</v>
      </c>
      <c r="B90" s="182" t="s">
        <v>788</v>
      </c>
      <c r="C90" s="177" t="s">
        <v>789</v>
      </c>
      <c r="D90" s="185" t="s">
        <v>1</v>
      </c>
      <c r="E90" s="164">
        <v>0</v>
      </c>
      <c r="F90" s="165">
        <v>0</v>
      </c>
      <c r="G90" s="165">
        <v>0</v>
      </c>
      <c r="H90" s="166">
        <v>0</v>
      </c>
      <c r="I90" s="167">
        <v>0</v>
      </c>
      <c r="J90" s="165">
        <v>0</v>
      </c>
      <c r="K90" s="168">
        <v>0</v>
      </c>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row>
    <row r="91" spans="1:38">
      <c r="A91" s="163">
        <v>89</v>
      </c>
      <c r="B91" s="182" t="s">
        <v>790</v>
      </c>
      <c r="C91" s="177" t="s">
        <v>791</v>
      </c>
      <c r="D91" s="185" t="s">
        <v>1</v>
      </c>
      <c r="E91" s="164">
        <v>0</v>
      </c>
      <c r="F91" s="165">
        <v>0</v>
      </c>
      <c r="G91" s="165">
        <v>0</v>
      </c>
      <c r="H91" s="166">
        <v>0</v>
      </c>
      <c r="I91" s="167">
        <v>0</v>
      </c>
      <c r="J91" s="165">
        <v>0</v>
      </c>
      <c r="K91" s="168">
        <v>0</v>
      </c>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row>
    <row r="92" spans="1:38">
      <c r="A92" s="163">
        <v>90</v>
      </c>
      <c r="B92" s="182" t="s">
        <v>792</v>
      </c>
      <c r="C92" s="177" t="s">
        <v>793</v>
      </c>
      <c r="D92" s="185" t="s">
        <v>1</v>
      </c>
      <c r="E92" s="164">
        <v>44</v>
      </c>
      <c r="F92" s="165">
        <v>15533</v>
      </c>
      <c r="G92" s="165">
        <v>2980</v>
      </c>
      <c r="H92" s="166">
        <v>0.2</v>
      </c>
      <c r="I92" s="167">
        <v>0.84652031159466945</v>
      </c>
      <c r="J92" s="165">
        <v>2384</v>
      </c>
      <c r="K92" s="168">
        <v>104896</v>
      </c>
      <c r="L92" s="71"/>
      <c r="M92" s="71"/>
      <c r="N92" s="91"/>
      <c r="O92" s="71"/>
      <c r="P92" s="71"/>
      <c r="Q92" s="71"/>
      <c r="R92" s="71"/>
      <c r="S92" s="71"/>
      <c r="T92" s="71"/>
      <c r="U92" s="71"/>
      <c r="V92" s="71"/>
      <c r="W92" s="71"/>
      <c r="X92" s="71"/>
      <c r="Y92" s="71"/>
      <c r="Z92" s="71"/>
      <c r="AA92" s="71"/>
      <c r="AB92" s="71"/>
      <c r="AC92" s="71"/>
      <c r="AD92" s="71"/>
      <c r="AE92" s="71"/>
      <c r="AF92" s="71">
        <v>2</v>
      </c>
      <c r="AG92" s="94"/>
      <c r="AH92" s="71"/>
      <c r="AI92" s="71">
        <v>4</v>
      </c>
      <c r="AJ92" s="71"/>
      <c r="AK92" s="71">
        <f t="shared" ref="AK92:AK96" si="12">SUBTOTAL(9,L92:AJ92)</f>
        <v>6</v>
      </c>
      <c r="AL92" s="79">
        <f t="shared" ref="AL92:AL96" si="13">+J92*AK92</f>
        <v>14304</v>
      </c>
    </row>
    <row r="93" spans="1:38">
      <c r="A93" s="163">
        <v>91</v>
      </c>
      <c r="B93" s="182" t="s">
        <v>794</v>
      </c>
      <c r="C93" s="177" t="s">
        <v>795</v>
      </c>
      <c r="D93" s="185" t="s">
        <v>1</v>
      </c>
      <c r="E93" s="164">
        <v>16</v>
      </c>
      <c r="F93" s="165">
        <v>20146</v>
      </c>
      <c r="G93" s="165">
        <v>3314</v>
      </c>
      <c r="H93" s="166">
        <v>0.20000000000000007</v>
      </c>
      <c r="I93" s="167">
        <v>0.8684006750719746</v>
      </c>
      <c r="J93" s="165">
        <v>2651.2</v>
      </c>
      <c r="K93" s="168">
        <v>42419.199999999997</v>
      </c>
      <c r="L93" s="71"/>
      <c r="M93" s="71"/>
      <c r="N93" s="91"/>
      <c r="O93" s="71"/>
      <c r="P93" s="71"/>
      <c r="Q93" s="71"/>
      <c r="R93" s="71"/>
      <c r="S93" s="71"/>
      <c r="T93" s="71"/>
      <c r="U93" s="71"/>
      <c r="V93" s="71"/>
      <c r="W93" s="71"/>
      <c r="X93" s="71"/>
      <c r="Y93" s="71"/>
      <c r="Z93" s="71"/>
      <c r="AA93" s="71"/>
      <c r="AB93" s="71"/>
      <c r="AC93" s="71"/>
      <c r="AD93" s="71"/>
      <c r="AE93" s="71"/>
      <c r="AF93" s="71"/>
      <c r="AG93" s="94"/>
      <c r="AH93" s="71"/>
      <c r="AI93" s="71"/>
      <c r="AJ93" s="71"/>
      <c r="AK93" s="71">
        <f t="shared" si="12"/>
        <v>0</v>
      </c>
      <c r="AL93" s="79">
        <f t="shared" si="13"/>
        <v>0</v>
      </c>
    </row>
    <row r="94" spans="1:38">
      <c r="A94" s="163">
        <v>92</v>
      </c>
      <c r="B94" s="182" t="s">
        <v>796</v>
      </c>
      <c r="C94" s="177" t="s">
        <v>797</v>
      </c>
      <c r="D94" s="185" t="s">
        <v>1</v>
      </c>
      <c r="E94" s="164">
        <v>7</v>
      </c>
      <c r="F94" s="165">
        <v>5900</v>
      </c>
      <c r="G94" s="165">
        <v>4387</v>
      </c>
      <c r="H94" s="166">
        <v>0.2</v>
      </c>
      <c r="I94" s="167">
        <v>0.40515254237288134</v>
      </c>
      <c r="J94" s="165">
        <v>3509.6</v>
      </c>
      <c r="K94" s="168">
        <v>24567.200000000001</v>
      </c>
      <c r="L94" s="71"/>
      <c r="M94" s="71"/>
      <c r="N94" s="91"/>
      <c r="O94" s="71"/>
      <c r="P94" s="71"/>
      <c r="Q94" s="71"/>
      <c r="R94" s="71"/>
      <c r="S94" s="71"/>
      <c r="T94" s="71"/>
      <c r="U94" s="71"/>
      <c r="V94" s="71"/>
      <c r="W94" s="71"/>
      <c r="X94" s="71"/>
      <c r="Y94" s="71"/>
      <c r="Z94" s="71"/>
      <c r="AA94" s="71"/>
      <c r="AB94" s="71"/>
      <c r="AC94" s="71">
        <v>5</v>
      </c>
      <c r="AD94" s="71"/>
      <c r="AE94" s="71"/>
      <c r="AF94" s="71"/>
      <c r="AG94" s="94"/>
      <c r="AH94" s="71"/>
      <c r="AI94" s="71"/>
      <c r="AJ94" s="94">
        <v>2</v>
      </c>
      <c r="AK94" s="94">
        <f t="shared" si="12"/>
        <v>7</v>
      </c>
      <c r="AL94" s="79">
        <f t="shared" si="13"/>
        <v>24567.200000000001</v>
      </c>
    </row>
    <row r="95" spans="1:38">
      <c r="A95" s="163">
        <v>93</v>
      </c>
      <c r="B95" s="182" t="s">
        <v>798</v>
      </c>
      <c r="C95" s="177" t="s">
        <v>799</v>
      </c>
      <c r="D95" s="185" t="s">
        <v>1</v>
      </c>
      <c r="E95" s="164">
        <v>66</v>
      </c>
      <c r="F95" s="165">
        <v>7339</v>
      </c>
      <c r="G95" s="165">
        <v>5750</v>
      </c>
      <c r="H95" s="166">
        <v>0.25</v>
      </c>
      <c r="I95" s="167">
        <v>0.41238588363537265</v>
      </c>
      <c r="J95" s="165">
        <v>4312.5</v>
      </c>
      <c r="K95" s="168">
        <v>284625</v>
      </c>
      <c r="L95" s="71"/>
      <c r="M95" s="71"/>
      <c r="N95" s="91"/>
      <c r="O95" s="71"/>
      <c r="P95" s="71"/>
      <c r="Q95" s="71"/>
      <c r="R95" s="71"/>
      <c r="S95" s="71"/>
      <c r="T95" s="71"/>
      <c r="U95" s="71"/>
      <c r="V95" s="71"/>
      <c r="W95" s="71"/>
      <c r="X95" s="71"/>
      <c r="Y95" s="71"/>
      <c r="Z95" s="71"/>
      <c r="AA95" s="71"/>
      <c r="AB95" s="71"/>
      <c r="AC95" s="71"/>
      <c r="AD95" s="71"/>
      <c r="AE95" s="71">
        <v>4</v>
      </c>
      <c r="AF95" s="71">
        <v>8</v>
      </c>
      <c r="AG95" s="94"/>
      <c r="AH95" s="71"/>
      <c r="AI95" s="71">
        <v>5</v>
      </c>
      <c r="AJ95" s="71"/>
      <c r="AK95" s="71">
        <f t="shared" si="12"/>
        <v>17</v>
      </c>
      <c r="AL95" s="79">
        <f t="shared" si="13"/>
        <v>73312.5</v>
      </c>
    </row>
    <row r="96" spans="1:38">
      <c r="A96" s="163">
        <v>94</v>
      </c>
      <c r="B96" s="182" t="s">
        <v>800</v>
      </c>
      <c r="C96" s="177" t="s">
        <v>801</v>
      </c>
      <c r="D96" s="185" t="s">
        <v>1</v>
      </c>
      <c r="E96" s="164">
        <v>123</v>
      </c>
      <c r="F96" s="165">
        <v>10429</v>
      </c>
      <c r="G96" s="165">
        <v>5933</v>
      </c>
      <c r="H96" s="166">
        <v>0.25</v>
      </c>
      <c r="I96" s="167">
        <v>0.57332917825294849</v>
      </c>
      <c r="J96" s="165">
        <v>4449.75</v>
      </c>
      <c r="K96" s="168">
        <v>547319.25</v>
      </c>
      <c r="L96" s="71">
        <v>20</v>
      </c>
      <c r="M96" s="71">
        <v>8</v>
      </c>
      <c r="N96" s="91">
        <v>8</v>
      </c>
      <c r="O96" s="71"/>
      <c r="P96" s="71">
        <v>8</v>
      </c>
      <c r="Q96" s="71">
        <v>8</v>
      </c>
      <c r="R96" s="71">
        <v>8</v>
      </c>
      <c r="S96" s="71">
        <v>8</v>
      </c>
      <c r="T96" s="71">
        <v>8</v>
      </c>
      <c r="U96" s="71">
        <v>8</v>
      </c>
      <c r="V96" s="71">
        <v>8</v>
      </c>
      <c r="W96" s="71">
        <v>8</v>
      </c>
      <c r="X96" s="71">
        <v>4</v>
      </c>
      <c r="Y96" s="71">
        <v>4</v>
      </c>
      <c r="Z96" s="71">
        <v>4</v>
      </c>
      <c r="AA96" s="71">
        <v>8</v>
      </c>
      <c r="AB96" s="71">
        <v>4</v>
      </c>
      <c r="AC96" s="71"/>
      <c r="AD96" s="71">
        <v>10</v>
      </c>
      <c r="AE96" s="71">
        <v>5</v>
      </c>
      <c r="AF96" s="71">
        <v>8</v>
      </c>
      <c r="AG96" s="94"/>
      <c r="AH96" s="71"/>
      <c r="AI96" s="71">
        <v>7</v>
      </c>
      <c r="AJ96" s="71"/>
      <c r="AK96" s="71">
        <f t="shared" si="12"/>
        <v>154</v>
      </c>
      <c r="AL96" s="79">
        <f t="shared" si="13"/>
        <v>685261.5</v>
      </c>
    </row>
    <row r="97" spans="1:38">
      <c r="A97" s="163">
        <v>95</v>
      </c>
      <c r="B97" s="182" t="s">
        <v>802</v>
      </c>
      <c r="C97" s="177" t="s">
        <v>803</v>
      </c>
      <c r="D97" s="185" t="s">
        <v>1</v>
      </c>
      <c r="E97" s="164">
        <v>0</v>
      </c>
      <c r="F97" s="165">
        <v>0</v>
      </c>
      <c r="G97" s="165">
        <v>0</v>
      </c>
      <c r="H97" s="166">
        <v>0</v>
      </c>
      <c r="I97" s="167">
        <v>0</v>
      </c>
      <c r="J97" s="165">
        <v>0</v>
      </c>
      <c r="K97" s="168">
        <v>0</v>
      </c>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row>
    <row r="98" spans="1:38">
      <c r="A98" s="163">
        <v>96</v>
      </c>
      <c r="B98" s="182" t="s">
        <v>804</v>
      </c>
      <c r="C98" s="177" t="s">
        <v>787</v>
      </c>
      <c r="D98" s="185" t="s">
        <v>1</v>
      </c>
      <c r="E98" s="164">
        <v>41</v>
      </c>
      <c r="F98" s="165">
        <v>9752</v>
      </c>
      <c r="G98" s="165">
        <v>3337</v>
      </c>
      <c r="H98" s="166">
        <v>0.20000000000000004</v>
      </c>
      <c r="I98" s="167">
        <v>0.72625102543068087</v>
      </c>
      <c r="J98" s="165">
        <v>2669.6</v>
      </c>
      <c r="K98" s="168">
        <v>109453.59999999999</v>
      </c>
      <c r="L98" s="71"/>
      <c r="M98" s="71"/>
      <c r="N98" s="91"/>
      <c r="O98" s="71"/>
      <c r="P98" s="71"/>
      <c r="Q98" s="71"/>
      <c r="R98" s="71"/>
      <c r="S98" s="71"/>
      <c r="T98" s="71"/>
      <c r="U98" s="71"/>
      <c r="V98" s="71"/>
      <c r="W98" s="71"/>
      <c r="X98" s="71"/>
      <c r="Y98" s="71"/>
      <c r="Z98" s="71"/>
      <c r="AA98" s="71"/>
      <c r="AB98" s="71"/>
      <c r="AC98" s="71">
        <v>5</v>
      </c>
      <c r="AD98" s="71"/>
      <c r="AE98" s="71">
        <v>5</v>
      </c>
      <c r="AF98" s="71">
        <v>10</v>
      </c>
      <c r="AG98" s="94"/>
      <c r="AH98" s="71"/>
      <c r="AI98" s="71">
        <v>2</v>
      </c>
      <c r="AJ98" s="71"/>
      <c r="AK98" s="71">
        <f>SUBTOTAL(9,L98:AJ98)</f>
        <v>22</v>
      </c>
      <c r="AL98" s="79">
        <f>+J98*AK98</f>
        <v>58731.199999999997</v>
      </c>
    </row>
    <row r="99" spans="1:38">
      <c r="A99" s="163">
        <v>97</v>
      </c>
      <c r="B99" s="182" t="s">
        <v>805</v>
      </c>
      <c r="C99" s="177" t="s">
        <v>806</v>
      </c>
      <c r="D99" s="185" t="s">
        <v>1</v>
      </c>
      <c r="E99" s="164">
        <v>0</v>
      </c>
      <c r="F99" s="165">
        <v>0</v>
      </c>
      <c r="G99" s="165">
        <v>0</v>
      </c>
      <c r="H99" s="166">
        <v>0</v>
      </c>
      <c r="I99" s="167">
        <v>0</v>
      </c>
      <c r="J99" s="165">
        <v>0</v>
      </c>
      <c r="K99" s="168">
        <v>0</v>
      </c>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row>
    <row r="100" spans="1:38">
      <c r="A100" s="163">
        <v>98</v>
      </c>
      <c r="B100" s="182" t="s">
        <v>807</v>
      </c>
      <c r="C100" s="177" t="s">
        <v>808</v>
      </c>
      <c r="D100" s="185" t="s">
        <v>1</v>
      </c>
      <c r="E100" s="164">
        <v>47</v>
      </c>
      <c r="F100" s="165">
        <v>6630</v>
      </c>
      <c r="G100" s="165">
        <v>2904</v>
      </c>
      <c r="H100" s="166">
        <v>0.20000000000000007</v>
      </c>
      <c r="I100" s="167">
        <v>0.64959276018099543</v>
      </c>
      <c r="J100" s="165">
        <v>2323.1999999999998</v>
      </c>
      <c r="K100" s="168">
        <v>109190.39999999999</v>
      </c>
      <c r="L100" s="71"/>
      <c r="M100" s="71"/>
      <c r="N100" s="91"/>
      <c r="O100" s="71"/>
      <c r="P100" s="71"/>
      <c r="Q100" s="71"/>
      <c r="R100" s="71"/>
      <c r="S100" s="71"/>
      <c r="T100" s="71"/>
      <c r="U100" s="71"/>
      <c r="V100" s="71"/>
      <c r="W100" s="71"/>
      <c r="X100" s="71"/>
      <c r="Y100" s="71"/>
      <c r="Z100" s="71"/>
      <c r="AA100" s="71"/>
      <c r="AB100" s="71"/>
      <c r="AC100" s="71">
        <v>5</v>
      </c>
      <c r="AD100" s="71"/>
      <c r="AE100" s="71"/>
      <c r="AF100" s="71">
        <v>8</v>
      </c>
      <c r="AG100" s="94">
        <v>5</v>
      </c>
      <c r="AH100" s="71"/>
      <c r="AI100" s="71">
        <v>10</v>
      </c>
      <c r="AJ100" s="71"/>
      <c r="AK100" s="71">
        <f t="shared" ref="AK100:AK104" si="14">SUBTOTAL(9,L100:AJ100)</f>
        <v>28</v>
      </c>
      <c r="AL100" s="79">
        <f t="shared" ref="AL100:AL104" si="15">+J100*AK100</f>
        <v>65049.599999999991</v>
      </c>
    </row>
    <row r="101" spans="1:38">
      <c r="A101" s="163">
        <v>99</v>
      </c>
      <c r="B101" s="182" t="s">
        <v>809</v>
      </c>
      <c r="C101" s="177" t="s">
        <v>810</v>
      </c>
      <c r="D101" s="185" t="s">
        <v>1</v>
      </c>
      <c r="E101" s="164">
        <v>91</v>
      </c>
      <c r="F101" s="165">
        <v>22396</v>
      </c>
      <c r="G101" s="165">
        <v>13170</v>
      </c>
      <c r="H101" s="166">
        <v>0.25</v>
      </c>
      <c r="I101" s="167">
        <v>0.55896142168244323</v>
      </c>
      <c r="J101" s="165">
        <v>9877.5</v>
      </c>
      <c r="K101" s="168">
        <v>898852.5</v>
      </c>
      <c r="L101" s="71">
        <v>20</v>
      </c>
      <c r="M101" s="71">
        <v>5</v>
      </c>
      <c r="N101" s="91">
        <v>5</v>
      </c>
      <c r="O101" s="71"/>
      <c r="P101" s="71">
        <v>5</v>
      </c>
      <c r="Q101" s="71">
        <v>5</v>
      </c>
      <c r="R101" s="71">
        <v>5</v>
      </c>
      <c r="S101" s="71">
        <v>5</v>
      </c>
      <c r="T101" s="71">
        <v>5</v>
      </c>
      <c r="U101" s="71">
        <v>5</v>
      </c>
      <c r="V101" s="71">
        <v>5</v>
      </c>
      <c r="W101" s="71"/>
      <c r="X101" s="71">
        <v>5</v>
      </c>
      <c r="Y101" s="71">
        <v>5</v>
      </c>
      <c r="Z101" s="71">
        <v>5</v>
      </c>
      <c r="AA101" s="71">
        <v>5</v>
      </c>
      <c r="AB101" s="71">
        <v>5</v>
      </c>
      <c r="AC101" s="71"/>
      <c r="AD101" s="71"/>
      <c r="AE101" s="71">
        <v>5</v>
      </c>
      <c r="AF101" s="71">
        <v>10</v>
      </c>
      <c r="AG101" s="94"/>
      <c r="AH101" s="71"/>
      <c r="AI101" s="71">
        <v>10</v>
      </c>
      <c r="AJ101" s="71"/>
      <c r="AK101" s="71">
        <f t="shared" si="14"/>
        <v>115</v>
      </c>
      <c r="AL101" s="79">
        <f t="shared" si="15"/>
        <v>1135912.5</v>
      </c>
    </row>
    <row r="102" spans="1:38">
      <c r="A102" s="163">
        <v>100</v>
      </c>
      <c r="B102" s="182" t="s">
        <v>811</v>
      </c>
      <c r="C102" s="177" t="s">
        <v>812</v>
      </c>
      <c r="D102" s="185" t="s">
        <v>1</v>
      </c>
      <c r="E102" s="164">
        <v>106</v>
      </c>
      <c r="F102" s="165">
        <v>22396</v>
      </c>
      <c r="G102" s="165">
        <v>13170</v>
      </c>
      <c r="H102" s="166">
        <v>0.25</v>
      </c>
      <c r="I102" s="167">
        <v>0.55896142168244323</v>
      </c>
      <c r="J102" s="165">
        <v>9877.5</v>
      </c>
      <c r="K102" s="168">
        <v>1047015</v>
      </c>
      <c r="L102" s="71"/>
      <c r="M102" s="71">
        <v>5</v>
      </c>
      <c r="N102" s="91">
        <v>5</v>
      </c>
      <c r="O102" s="71"/>
      <c r="P102" s="71">
        <v>5</v>
      </c>
      <c r="Q102" s="71">
        <v>5</v>
      </c>
      <c r="R102" s="71">
        <v>5</v>
      </c>
      <c r="S102" s="71">
        <v>5</v>
      </c>
      <c r="T102" s="71">
        <v>5</v>
      </c>
      <c r="U102" s="71">
        <v>5</v>
      </c>
      <c r="V102" s="71">
        <v>5</v>
      </c>
      <c r="W102" s="71"/>
      <c r="X102" s="71">
        <v>5</v>
      </c>
      <c r="Y102" s="71">
        <v>5</v>
      </c>
      <c r="Z102" s="71">
        <v>5</v>
      </c>
      <c r="AA102" s="71">
        <v>5</v>
      </c>
      <c r="AB102" s="71">
        <v>5</v>
      </c>
      <c r="AC102" s="71"/>
      <c r="AD102" s="71"/>
      <c r="AE102" s="71">
        <v>5</v>
      </c>
      <c r="AF102" s="71">
        <v>10</v>
      </c>
      <c r="AG102" s="94"/>
      <c r="AH102" s="71"/>
      <c r="AI102" s="71">
        <v>12</v>
      </c>
      <c r="AJ102" s="71"/>
      <c r="AK102" s="71">
        <f t="shared" si="14"/>
        <v>97</v>
      </c>
      <c r="AL102" s="79">
        <f t="shared" si="15"/>
        <v>958117.5</v>
      </c>
    </row>
    <row r="103" spans="1:38">
      <c r="A103" s="163">
        <v>101</v>
      </c>
      <c r="B103" s="182" t="s">
        <v>813</v>
      </c>
      <c r="C103" s="177" t="s">
        <v>814</v>
      </c>
      <c r="D103" s="185" t="s">
        <v>1</v>
      </c>
      <c r="E103" s="164">
        <v>2</v>
      </c>
      <c r="F103" s="165">
        <v>36887</v>
      </c>
      <c r="G103" s="165">
        <v>16189</v>
      </c>
      <c r="H103" s="166">
        <v>0.19999999999999996</v>
      </c>
      <c r="I103" s="167">
        <v>0.64889527475804476</v>
      </c>
      <c r="J103" s="165">
        <v>12951.2</v>
      </c>
      <c r="K103" s="168">
        <v>25902.400000000001</v>
      </c>
      <c r="L103" s="71"/>
      <c r="M103" s="71"/>
      <c r="N103" s="91"/>
      <c r="O103" s="71"/>
      <c r="P103" s="71"/>
      <c r="Q103" s="71"/>
      <c r="R103" s="71"/>
      <c r="S103" s="71"/>
      <c r="T103" s="71"/>
      <c r="U103" s="71"/>
      <c r="V103" s="71"/>
      <c r="W103" s="71"/>
      <c r="X103" s="71"/>
      <c r="Y103" s="71"/>
      <c r="Z103" s="71"/>
      <c r="AA103" s="71"/>
      <c r="AB103" s="71"/>
      <c r="AC103" s="71">
        <v>4</v>
      </c>
      <c r="AD103" s="71"/>
      <c r="AE103" s="71"/>
      <c r="AF103" s="71">
        <v>10</v>
      </c>
      <c r="AG103" s="94"/>
      <c r="AH103" s="71"/>
      <c r="AI103" s="71">
        <v>3</v>
      </c>
      <c r="AJ103" s="71"/>
      <c r="AK103" s="71">
        <f t="shared" si="14"/>
        <v>17</v>
      </c>
      <c r="AL103" s="79">
        <f t="shared" si="15"/>
        <v>220170.40000000002</v>
      </c>
    </row>
    <row r="104" spans="1:38">
      <c r="A104" s="163">
        <v>102</v>
      </c>
      <c r="B104" s="182" t="s">
        <v>815</v>
      </c>
      <c r="C104" s="177" t="s">
        <v>816</v>
      </c>
      <c r="D104" s="185" t="s">
        <v>1</v>
      </c>
      <c r="E104" s="164">
        <v>2</v>
      </c>
      <c r="F104" s="165">
        <v>36887</v>
      </c>
      <c r="G104" s="165">
        <v>16189</v>
      </c>
      <c r="H104" s="166">
        <v>0.19999999999999996</v>
      </c>
      <c r="I104" s="167">
        <v>0.64889527475804476</v>
      </c>
      <c r="J104" s="165">
        <v>12951.2</v>
      </c>
      <c r="K104" s="168">
        <v>25902.400000000001</v>
      </c>
      <c r="L104" s="71"/>
      <c r="M104" s="71"/>
      <c r="N104" s="91"/>
      <c r="O104" s="71"/>
      <c r="P104" s="71"/>
      <c r="Q104" s="71"/>
      <c r="R104" s="71"/>
      <c r="S104" s="71"/>
      <c r="T104" s="71"/>
      <c r="U104" s="71"/>
      <c r="V104" s="71"/>
      <c r="W104" s="71"/>
      <c r="X104" s="71"/>
      <c r="Y104" s="71"/>
      <c r="Z104" s="71"/>
      <c r="AA104" s="71"/>
      <c r="AB104" s="71"/>
      <c r="AC104" s="71"/>
      <c r="AD104" s="71"/>
      <c r="AE104" s="71"/>
      <c r="AF104" s="71">
        <v>10</v>
      </c>
      <c r="AG104" s="94"/>
      <c r="AH104" s="71"/>
      <c r="AI104" s="71"/>
      <c r="AJ104" s="71"/>
      <c r="AK104" s="71">
        <f t="shared" si="14"/>
        <v>10</v>
      </c>
      <c r="AL104" s="79">
        <f t="shared" si="15"/>
        <v>129512</v>
      </c>
    </row>
    <row r="105" spans="1:38">
      <c r="A105" s="163">
        <v>103</v>
      </c>
      <c r="B105" s="182" t="s">
        <v>817</v>
      </c>
      <c r="C105" s="177" t="s">
        <v>818</v>
      </c>
      <c r="D105" s="185" t="s">
        <v>1</v>
      </c>
      <c r="E105" s="164">
        <v>0</v>
      </c>
      <c r="F105" s="165">
        <v>0</v>
      </c>
      <c r="G105" s="165">
        <v>0</v>
      </c>
      <c r="H105" s="166">
        <v>0</v>
      </c>
      <c r="I105" s="167">
        <v>0</v>
      </c>
      <c r="J105" s="165">
        <v>0</v>
      </c>
      <c r="K105" s="168">
        <v>0</v>
      </c>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row>
    <row r="106" spans="1:38">
      <c r="A106" s="163">
        <v>104</v>
      </c>
      <c r="B106" s="182" t="s">
        <v>819</v>
      </c>
      <c r="C106" s="177" t="s">
        <v>820</v>
      </c>
      <c r="D106" s="185" t="s">
        <v>1</v>
      </c>
      <c r="E106" s="164">
        <v>0</v>
      </c>
      <c r="F106" s="165">
        <v>0</v>
      </c>
      <c r="G106" s="165">
        <v>0</v>
      </c>
      <c r="H106" s="166">
        <v>0</v>
      </c>
      <c r="I106" s="167">
        <v>0</v>
      </c>
      <c r="J106" s="165">
        <v>0</v>
      </c>
      <c r="K106" s="168">
        <v>0</v>
      </c>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row>
    <row r="107" spans="1:38">
      <c r="A107" s="163">
        <v>105</v>
      </c>
      <c r="B107" s="182" t="s">
        <v>821</v>
      </c>
      <c r="C107" s="177" t="s">
        <v>822</v>
      </c>
      <c r="D107" s="185" t="s">
        <v>1</v>
      </c>
      <c r="E107" s="164">
        <v>2</v>
      </c>
      <c r="F107" s="165">
        <v>105660</v>
      </c>
      <c r="G107" s="165">
        <v>786</v>
      </c>
      <c r="H107" s="166">
        <v>0.20000000000000007</v>
      </c>
      <c r="I107" s="167">
        <v>0.99404883588869963</v>
      </c>
      <c r="J107" s="165">
        <v>628.79999999999995</v>
      </c>
      <c r="K107" s="168">
        <v>1257.5999999999999</v>
      </c>
      <c r="L107" s="71"/>
      <c r="M107" s="71"/>
      <c r="N107" s="91"/>
      <c r="O107" s="71"/>
      <c r="P107" s="71"/>
      <c r="Q107" s="71"/>
      <c r="R107" s="71"/>
      <c r="S107" s="71"/>
      <c r="T107" s="71"/>
      <c r="U107" s="71"/>
      <c r="V107" s="71"/>
      <c r="W107" s="71"/>
      <c r="X107" s="71"/>
      <c r="Y107" s="71"/>
      <c r="Z107" s="71"/>
      <c r="AA107" s="71"/>
      <c r="AB107" s="71"/>
      <c r="AC107" s="71"/>
      <c r="AD107" s="71"/>
      <c r="AE107" s="71"/>
      <c r="AF107" s="71"/>
      <c r="AG107" s="94"/>
      <c r="AH107" s="71"/>
      <c r="AI107" s="71"/>
      <c r="AJ107" s="71"/>
      <c r="AK107" s="71">
        <f t="shared" ref="AK107:AK109" si="16">SUBTOTAL(9,L107:AJ107)</f>
        <v>0</v>
      </c>
      <c r="AL107" s="79">
        <f t="shared" ref="AL107:AL109" si="17">+J107*AK107</f>
        <v>0</v>
      </c>
    </row>
    <row r="108" spans="1:38">
      <c r="A108" s="163">
        <v>106</v>
      </c>
      <c r="B108" s="188" t="s">
        <v>823</v>
      </c>
      <c r="C108" s="179" t="s">
        <v>824</v>
      </c>
      <c r="D108" s="185" t="s">
        <v>825</v>
      </c>
      <c r="E108" s="169">
        <v>466</v>
      </c>
      <c r="F108" s="165">
        <v>1309</v>
      </c>
      <c r="G108" s="165">
        <v>597</v>
      </c>
      <c r="H108" s="166">
        <v>0.25</v>
      </c>
      <c r="I108" s="167">
        <v>0.65794499618029034</v>
      </c>
      <c r="J108" s="165">
        <v>447.75</v>
      </c>
      <c r="K108" s="168">
        <v>208651.5</v>
      </c>
      <c r="L108" s="71">
        <v>50</v>
      </c>
      <c r="M108" s="71">
        <v>15</v>
      </c>
      <c r="N108" s="91">
        <v>15</v>
      </c>
      <c r="O108" s="71"/>
      <c r="P108" s="71">
        <v>15</v>
      </c>
      <c r="Q108" s="71">
        <v>15</v>
      </c>
      <c r="R108" s="71">
        <v>15</v>
      </c>
      <c r="S108" s="71">
        <v>10</v>
      </c>
      <c r="T108" s="71">
        <v>15</v>
      </c>
      <c r="U108" s="77">
        <v>15</v>
      </c>
      <c r="V108" s="71">
        <v>15</v>
      </c>
      <c r="W108" s="71">
        <v>10</v>
      </c>
      <c r="X108" s="71">
        <v>10</v>
      </c>
      <c r="Y108" s="71">
        <v>10</v>
      </c>
      <c r="Z108" s="71">
        <v>10</v>
      </c>
      <c r="AA108" s="71">
        <v>15</v>
      </c>
      <c r="AB108" s="71">
        <v>10</v>
      </c>
      <c r="AC108" s="71">
        <v>30</v>
      </c>
      <c r="AD108" s="71">
        <v>15</v>
      </c>
      <c r="AE108" s="71">
        <v>6</v>
      </c>
      <c r="AF108" s="71">
        <v>25</v>
      </c>
      <c r="AG108" s="94"/>
      <c r="AH108" s="71">
        <v>15</v>
      </c>
      <c r="AI108" s="71">
        <v>50</v>
      </c>
      <c r="AJ108" s="94">
        <v>3</v>
      </c>
      <c r="AK108" s="94">
        <f t="shared" si="16"/>
        <v>389</v>
      </c>
      <c r="AL108" s="79">
        <f t="shared" si="17"/>
        <v>174174.75</v>
      </c>
    </row>
    <row r="109" spans="1:38">
      <c r="A109" s="163">
        <v>107</v>
      </c>
      <c r="B109" s="189" t="s">
        <v>826</v>
      </c>
      <c r="C109" s="180" t="s">
        <v>827</v>
      </c>
      <c r="D109" s="185" t="s">
        <v>825</v>
      </c>
      <c r="E109" s="164">
        <v>9</v>
      </c>
      <c r="F109" s="165">
        <v>1345</v>
      </c>
      <c r="G109" s="165">
        <v>694</v>
      </c>
      <c r="H109" s="166">
        <v>0.19999999999999993</v>
      </c>
      <c r="I109" s="167">
        <v>0.5872118959107806</v>
      </c>
      <c r="J109" s="165">
        <v>555.20000000000005</v>
      </c>
      <c r="K109" s="168">
        <v>4996.8</v>
      </c>
      <c r="L109" s="71"/>
      <c r="M109" s="71"/>
      <c r="N109" s="91"/>
      <c r="O109" s="71"/>
      <c r="P109" s="71"/>
      <c r="Q109" s="71"/>
      <c r="R109" s="71"/>
      <c r="S109" s="71"/>
      <c r="T109" s="71"/>
      <c r="U109" s="71"/>
      <c r="V109" s="71"/>
      <c r="W109" s="71"/>
      <c r="X109" s="71"/>
      <c r="Y109" s="71"/>
      <c r="Z109" s="71"/>
      <c r="AA109" s="71"/>
      <c r="AB109" s="71"/>
      <c r="AC109" s="71"/>
      <c r="AD109" s="71"/>
      <c r="AE109" s="71"/>
      <c r="AF109" s="71"/>
      <c r="AG109" s="94"/>
      <c r="AH109" s="71"/>
      <c r="AI109" s="71"/>
      <c r="AJ109" s="71"/>
      <c r="AK109" s="71">
        <f t="shared" si="16"/>
        <v>0</v>
      </c>
      <c r="AL109" s="79">
        <f t="shared" si="17"/>
        <v>0</v>
      </c>
    </row>
    <row r="110" spans="1:38">
      <c r="A110" s="163">
        <v>108</v>
      </c>
      <c r="B110" s="182" t="s">
        <v>828</v>
      </c>
      <c r="C110" s="178" t="s">
        <v>829</v>
      </c>
      <c r="D110" s="185" t="s">
        <v>825</v>
      </c>
      <c r="E110" s="164">
        <v>0</v>
      </c>
      <c r="F110" s="165">
        <v>0</v>
      </c>
      <c r="G110" s="165">
        <v>0</v>
      </c>
      <c r="H110" s="166">
        <v>0</v>
      </c>
      <c r="I110" s="167">
        <v>0</v>
      </c>
      <c r="J110" s="165">
        <v>0</v>
      </c>
      <c r="K110" s="168">
        <v>0</v>
      </c>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row>
    <row r="111" spans="1:38">
      <c r="A111" s="163">
        <v>109</v>
      </c>
      <c r="B111" s="182" t="s">
        <v>830</v>
      </c>
      <c r="C111" s="177" t="s">
        <v>831</v>
      </c>
      <c r="D111" s="185" t="s">
        <v>825</v>
      </c>
      <c r="E111" s="164">
        <v>0</v>
      </c>
      <c r="F111" s="165">
        <v>0</v>
      </c>
      <c r="G111" s="165">
        <v>0</v>
      </c>
      <c r="H111" s="166">
        <v>0</v>
      </c>
      <c r="I111" s="167">
        <v>0</v>
      </c>
      <c r="J111" s="165">
        <v>0</v>
      </c>
      <c r="K111" s="168">
        <v>0</v>
      </c>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row>
    <row r="112" spans="1:38">
      <c r="A112" s="163">
        <v>110</v>
      </c>
      <c r="B112" s="182" t="s">
        <v>832</v>
      </c>
      <c r="C112" s="177" t="s">
        <v>833</v>
      </c>
      <c r="D112" s="185" t="s">
        <v>825</v>
      </c>
      <c r="E112" s="164">
        <v>0</v>
      </c>
      <c r="F112" s="165">
        <v>0</v>
      </c>
      <c r="G112" s="165">
        <v>0</v>
      </c>
      <c r="H112" s="166">
        <v>0</v>
      </c>
      <c r="I112" s="167">
        <v>0</v>
      </c>
      <c r="J112" s="165">
        <v>0</v>
      </c>
      <c r="K112" s="168">
        <v>0</v>
      </c>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row>
    <row r="113" spans="1:38">
      <c r="A113" s="163">
        <v>111</v>
      </c>
      <c r="B113" s="182" t="s">
        <v>834</v>
      </c>
      <c r="C113" s="177" t="s">
        <v>835</v>
      </c>
      <c r="D113" s="185" t="s">
        <v>825</v>
      </c>
      <c r="E113" s="164">
        <v>0</v>
      </c>
      <c r="F113" s="165">
        <v>0</v>
      </c>
      <c r="G113" s="165">
        <v>0</v>
      </c>
      <c r="H113" s="166">
        <v>0</v>
      </c>
      <c r="I113" s="167">
        <v>0</v>
      </c>
      <c r="J113" s="165">
        <v>0</v>
      </c>
      <c r="K113" s="168">
        <v>0</v>
      </c>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row>
    <row r="114" spans="1:38">
      <c r="A114" s="163">
        <v>112</v>
      </c>
      <c r="B114" s="188" t="s">
        <v>836</v>
      </c>
      <c r="C114" s="181" t="s">
        <v>837</v>
      </c>
      <c r="D114" s="185" t="s">
        <v>825</v>
      </c>
      <c r="E114" s="164">
        <v>246</v>
      </c>
      <c r="F114" s="165">
        <v>3551</v>
      </c>
      <c r="G114" s="165">
        <v>1335</v>
      </c>
      <c r="H114" s="166">
        <v>0.25</v>
      </c>
      <c r="I114" s="167">
        <v>0.71803717262742883</v>
      </c>
      <c r="J114" s="165">
        <v>1001.25</v>
      </c>
      <c r="K114" s="168">
        <v>246307.5</v>
      </c>
      <c r="L114" s="71">
        <v>35</v>
      </c>
      <c r="M114" s="71">
        <v>15</v>
      </c>
      <c r="N114" s="91">
        <v>15</v>
      </c>
      <c r="O114" s="71"/>
      <c r="P114" s="71">
        <v>15</v>
      </c>
      <c r="Q114" s="71">
        <v>15</v>
      </c>
      <c r="R114" s="71">
        <v>15</v>
      </c>
      <c r="S114" s="71">
        <v>10</v>
      </c>
      <c r="T114" s="71">
        <v>15</v>
      </c>
      <c r="U114" s="71">
        <v>15</v>
      </c>
      <c r="V114" s="71">
        <v>15</v>
      </c>
      <c r="W114" s="71"/>
      <c r="X114" s="71">
        <v>10</v>
      </c>
      <c r="Y114" s="71">
        <v>10</v>
      </c>
      <c r="Z114" s="71">
        <v>10</v>
      </c>
      <c r="AA114" s="71">
        <v>15</v>
      </c>
      <c r="AB114" s="71">
        <v>10</v>
      </c>
      <c r="AC114" s="71">
        <v>10</v>
      </c>
      <c r="AD114" s="71"/>
      <c r="AE114" s="71">
        <v>5</v>
      </c>
      <c r="AF114" s="71"/>
      <c r="AG114" s="94"/>
      <c r="AH114" s="71">
        <v>15</v>
      </c>
      <c r="AI114" s="71">
        <v>20</v>
      </c>
      <c r="AJ114" s="71"/>
      <c r="AK114" s="71">
        <f>SUBTOTAL(9,L114:AJ114)</f>
        <v>270</v>
      </c>
      <c r="AL114" s="79">
        <f>+J114*AK114</f>
        <v>270337.5</v>
      </c>
    </row>
    <row r="115" spans="1:38">
      <c r="A115" s="163">
        <v>113</v>
      </c>
      <c r="B115" s="182" t="s">
        <v>838</v>
      </c>
      <c r="C115" s="178" t="s">
        <v>839</v>
      </c>
      <c r="D115" s="185" t="s">
        <v>825</v>
      </c>
      <c r="E115" s="164">
        <v>0</v>
      </c>
      <c r="F115" s="165">
        <v>0</v>
      </c>
      <c r="G115" s="165">
        <v>0</v>
      </c>
      <c r="H115" s="166">
        <v>0</v>
      </c>
      <c r="I115" s="167">
        <v>0</v>
      </c>
      <c r="J115" s="165">
        <v>0</v>
      </c>
      <c r="K115" s="168">
        <v>0</v>
      </c>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row>
    <row r="116" spans="1:38">
      <c r="A116" s="163">
        <v>114</v>
      </c>
      <c r="B116" s="182" t="s">
        <v>840</v>
      </c>
      <c r="C116" s="178" t="s">
        <v>841</v>
      </c>
      <c r="D116" s="185" t="s">
        <v>825</v>
      </c>
      <c r="E116" s="164">
        <v>0</v>
      </c>
      <c r="F116" s="165">
        <v>0</v>
      </c>
      <c r="G116" s="165">
        <v>0</v>
      </c>
      <c r="H116" s="166">
        <v>0</v>
      </c>
      <c r="I116" s="167">
        <v>0</v>
      </c>
      <c r="J116" s="165">
        <v>0</v>
      </c>
      <c r="K116" s="168">
        <v>0</v>
      </c>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row>
    <row r="117" spans="1:38">
      <c r="A117" s="163">
        <v>115</v>
      </c>
      <c r="B117" s="182" t="s">
        <v>842</v>
      </c>
      <c r="C117" s="178" t="s">
        <v>843</v>
      </c>
      <c r="D117" s="185" t="s">
        <v>825</v>
      </c>
      <c r="E117" s="164">
        <v>0</v>
      </c>
      <c r="F117" s="165">
        <v>0</v>
      </c>
      <c r="G117" s="165">
        <v>0</v>
      </c>
      <c r="H117" s="166">
        <v>0</v>
      </c>
      <c r="I117" s="167">
        <v>0</v>
      </c>
      <c r="J117" s="165">
        <v>0</v>
      </c>
      <c r="K117" s="168">
        <v>0</v>
      </c>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row>
    <row r="118" spans="1:38">
      <c r="A118" s="163">
        <v>116</v>
      </c>
      <c r="B118" s="182" t="s">
        <v>844</v>
      </c>
      <c r="C118" s="177" t="s">
        <v>845</v>
      </c>
      <c r="D118" s="185" t="s">
        <v>825</v>
      </c>
      <c r="E118" s="164">
        <v>0</v>
      </c>
      <c r="F118" s="165">
        <v>0</v>
      </c>
      <c r="G118" s="165">
        <v>0</v>
      </c>
      <c r="H118" s="166">
        <v>0</v>
      </c>
      <c r="I118" s="167">
        <v>0</v>
      </c>
      <c r="J118" s="165">
        <v>0</v>
      </c>
      <c r="K118" s="168">
        <v>0</v>
      </c>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row>
    <row r="119" spans="1:38">
      <c r="A119" s="163">
        <v>117</v>
      </c>
      <c r="B119" s="182" t="s">
        <v>846</v>
      </c>
      <c r="C119" s="177" t="s">
        <v>847</v>
      </c>
      <c r="D119" s="185" t="s">
        <v>825</v>
      </c>
      <c r="E119" s="164">
        <v>0</v>
      </c>
      <c r="F119" s="165">
        <v>0</v>
      </c>
      <c r="G119" s="165">
        <v>0</v>
      </c>
      <c r="H119" s="166">
        <v>0</v>
      </c>
      <c r="I119" s="167">
        <v>0</v>
      </c>
      <c r="J119" s="165">
        <v>0</v>
      </c>
      <c r="K119" s="168">
        <v>0</v>
      </c>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row>
    <row r="120" spans="1:38">
      <c r="A120" s="163">
        <v>118</v>
      </c>
      <c r="B120" s="188" t="s">
        <v>848</v>
      </c>
      <c r="C120" s="181" t="s">
        <v>849</v>
      </c>
      <c r="D120" s="185" t="s">
        <v>825</v>
      </c>
      <c r="E120" s="169">
        <v>391</v>
      </c>
      <c r="F120" s="165">
        <v>4813</v>
      </c>
      <c r="G120" s="165">
        <v>1545</v>
      </c>
      <c r="H120" s="166">
        <v>0.25</v>
      </c>
      <c r="I120" s="167">
        <v>0.75924579264491998</v>
      </c>
      <c r="J120" s="165">
        <v>1158.75</v>
      </c>
      <c r="K120" s="168">
        <v>453071.25</v>
      </c>
      <c r="L120" s="71">
        <v>50</v>
      </c>
      <c r="M120" s="71">
        <v>20</v>
      </c>
      <c r="N120" s="91">
        <v>20</v>
      </c>
      <c r="O120" s="71"/>
      <c r="P120" s="71">
        <v>20</v>
      </c>
      <c r="Q120" s="71">
        <v>20</v>
      </c>
      <c r="R120" s="71">
        <v>20</v>
      </c>
      <c r="S120" s="71">
        <v>15</v>
      </c>
      <c r="T120" s="71">
        <v>20</v>
      </c>
      <c r="U120" s="71">
        <v>20</v>
      </c>
      <c r="V120" s="71">
        <v>20</v>
      </c>
      <c r="W120" s="71">
        <v>15</v>
      </c>
      <c r="X120" s="71">
        <v>10</v>
      </c>
      <c r="Y120" s="71">
        <v>10</v>
      </c>
      <c r="Z120" s="71">
        <v>10</v>
      </c>
      <c r="AA120" s="71">
        <v>20</v>
      </c>
      <c r="AB120" s="71">
        <v>10</v>
      </c>
      <c r="AC120" s="71">
        <v>5</v>
      </c>
      <c r="AD120" s="71">
        <v>15</v>
      </c>
      <c r="AE120" s="71">
        <v>6</v>
      </c>
      <c r="AF120" s="71">
        <v>40</v>
      </c>
      <c r="AG120" s="94"/>
      <c r="AH120" s="71"/>
      <c r="AI120" s="71">
        <v>40</v>
      </c>
      <c r="AJ120" s="71"/>
      <c r="AK120" s="71">
        <f>SUBTOTAL(9,L120:AJ120)</f>
        <v>406</v>
      </c>
      <c r="AL120" s="79">
        <f>+J120*AK120</f>
        <v>470452.5</v>
      </c>
    </row>
    <row r="121" spans="1:38">
      <c r="A121" s="163">
        <v>119</v>
      </c>
      <c r="B121" s="182" t="s">
        <v>850</v>
      </c>
      <c r="C121" s="177" t="s">
        <v>851</v>
      </c>
      <c r="D121" s="185" t="s">
        <v>825</v>
      </c>
      <c r="E121" s="164">
        <v>0</v>
      </c>
      <c r="F121" s="165">
        <v>0</v>
      </c>
      <c r="G121" s="165">
        <v>0</v>
      </c>
      <c r="H121" s="166">
        <v>0</v>
      </c>
      <c r="I121" s="167">
        <v>0</v>
      </c>
      <c r="J121" s="165">
        <v>0</v>
      </c>
      <c r="K121" s="168">
        <v>0</v>
      </c>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row>
    <row r="122" spans="1:38">
      <c r="A122" s="163">
        <v>120</v>
      </c>
      <c r="B122" s="188" t="s">
        <v>852</v>
      </c>
      <c r="C122" s="181" t="s">
        <v>853</v>
      </c>
      <c r="D122" s="185" t="s">
        <v>825</v>
      </c>
      <c r="E122" s="169">
        <v>545</v>
      </c>
      <c r="F122" s="165">
        <v>4903</v>
      </c>
      <c r="G122" s="165">
        <v>1633</v>
      </c>
      <c r="H122" s="166">
        <v>0.25</v>
      </c>
      <c r="I122" s="167">
        <v>0.75020395676116669</v>
      </c>
      <c r="J122" s="165">
        <v>1224.75</v>
      </c>
      <c r="K122" s="168">
        <v>667488.75</v>
      </c>
      <c r="L122" s="71">
        <v>30</v>
      </c>
      <c r="M122" s="71">
        <v>12</v>
      </c>
      <c r="N122" s="91">
        <v>12</v>
      </c>
      <c r="O122" s="71"/>
      <c r="P122" s="71">
        <v>12</v>
      </c>
      <c r="Q122" s="77">
        <v>12</v>
      </c>
      <c r="R122" s="71">
        <v>12</v>
      </c>
      <c r="S122" s="71">
        <v>10</v>
      </c>
      <c r="T122" s="71">
        <v>12</v>
      </c>
      <c r="U122" s="71">
        <v>12</v>
      </c>
      <c r="V122" s="71">
        <v>12</v>
      </c>
      <c r="W122" s="71">
        <v>10</v>
      </c>
      <c r="X122" s="71">
        <v>6</v>
      </c>
      <c r="Y122" s="71">
        <v>6</v>
      </c>
      <c r="Z122" s="71">
        <v>6</v>
      </c>
      <c r="AA122" s="71">
        <v>12</v>
      </c>
      <c r="AB122" s="71">
        <v>6</v>
      </c>
      <c r="AC122" s="71">
        <v>5</v>
      </c>
      <c r="AD122" s="71"/>
      <c r="AE122" s="71">
        <v>6</v>
      </c>
      <c r="AF122" s="71"/>
      <c r="AG122" s="94"/>
      <c r="AH122" s="71"/>
      <c r="AI122" s="71">
        <v>20</v>
      </c>
      <c r="AJ122" s="71"/>
      <c r="AK122" s="71">
        <f>SUBTOTAL(9,L122:AJ122)</f>
        <v>213</v>
      </c>
      <c r="AL122" s="79">
        <f>+J122*AK122</f>
        <v>260871.75</v>
      </c>
    </row>
    <row r="123" spans="1:38">
      <c r="A123" s="163">
        <v>121</v>
      </c>
      <c r="B123" s="182" t="s">
        <v>854</v>
      </c>
      <c r="C123" s="177" t="s">
        <v>855</v>
      </c>
      <c r="D123" s="185" t="s">
        <v>825</v>
      </c>
      <c r="E123" s="164">
        <v>0</v>
      </c>
      <c r="F123" s="165">
        <v>0</v>
      </c>
      <c r="G123" s="165">
        <v>0</v>
      </c>
      <c r="H123" s="166">
        <v>0</v>
      </c>
      <c r="I123" s="167">
        <v>0</v>
      </c>
      <c r="J123" s="165">
        <v>0</v>
      </c>
      <c r="K123" s="168">
        <v>0</v>
      </c>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row>
    <row r="124" spans="1:38">
      <c r="A124" s="163">
        <v>122</v>
      </c>
      <c r="B124" s="182" t="s">
        <v>856</v>
      </c>
      <c r="C124" s="177" t="s">
        <v>857</v>
      </c>
      <c r="D124" s="185" t="s">
        <v>825</v>
      </c>
      <c r="E124" s="164">
        <v>0</v>
      </c>
      <c r="F124" s="165">
        <v>0</v>
      </c>
      <c r="G124" s="165">
        <v>0</v>
      </c>
      <c r="H124" s="166">
        <v>0</v>
      </c>
      <c r="I124" s="167">
        <v>0</v>
      </c>
      <c r="J124" s="165">
        <v>0</v>
      </c>
      <c r="K124" s="168">
        <v>0</v>
      </c>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row>
    <row r="125" spans="1:38">
      <c r="A125" s="163">
        <v>123</v>
      </c>
      <c r="B125" s="182" t="s">
        <v>858</v>
      </c>
      <c r="C125" s="177" t="s">
        <v>859</v>
      </c>
      <c r="D125" s="185" t="s">
        <v>825</v>
      </c>
      <c r="E125" s="164">
        <v>0</v>
      </c>
      <c r="F125" s="165">
        <v>0</v>
      </c>
      <c r="G125" s="165">
        <v>0</v>
      </c>
      <c r="H125" s="166">
        <v>0</v>
      </c>
      <c r="I125" s="167">
        <v>0</v>
      </c>
      <c r="J125" s="165">
        <v>0</v>
      </c>
      <c r="K125" s="168">
        <v>0</v>
      </c>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row>
    <row r="126" spans="1:38">
      <c r="A126" s="163">
        <v>124</v>
      </c>
      <c r="B126" s="188" t="s">
        <v>860</v>
      </c>
      <c r="C126" s="181" t="s">
        <v>861</v>
      </c>
      <c r="D126" s="185" t="s">
        <v>825</v>
      </c>
      <c r="E126" s="170">
        <v>0</v>
      </c>
      <c r="F126" s="165">
        <v>0</v>
      </c>
      <c r="G126" s="165">
        <v>0</v>
      </c>
      <c r="H126" s="166">
        <v>0</v>
      </c>
      <c r="I126" s="167">
        <v>0</v>
      </c>
      <c r="J126" s="165">
        <v>0</v>
      </c>
      <c r="K126" s="168">
        <v>0</v>
      </c>
      <c r="L126" s="192">
        <v>409</v>
      </c>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row>
    <row r="127" spans="1:38">
      <c r="A127" s="163">
        <v>125</v>
      </c>
      <c r="B127" s="189" t="s">
        <v>862</v>
      </c>
      <c r="C127" s="180" t="s">
        <v>863</v>
      </c>
      <c r="D127" s="185" t="s">
        <v>825</v>
      </c>
      <c r="E127" s="164">
        <v>409</v>
      </c>
      <c r="F127" s="165">
        <v>7034</v>
      </c>
      <c r="G127" s="165">
        <v>3055</v>
      </c>
      <c r="H127" s="166">
        <v>0.25</v>
      </c>
      <c r="I127" s="167">
        <v>0.67426073357975547</v>
      </c>
      <c r="J127" s="165">
        <v>2291.25</v>
      </c>
      <c r="K127" s="168">
        <v>937121.25</v>
      </c>
      <c r="L127" s="71">
        <v>40</v>
      </c>
      <c r="M127" s="94">
        <v>8</v>
      </c>
      <c r="N127" s="191">
        <v>8</v>
      </c>
      <c r="O127" s="71"/>
      <c r="P127" s="94">
        <v>8</v>
      </c>
      <c r="Q127" s="94">
        <v>8</v>
      </c>
      <c r="R127" s="94">
        <v>8</v>
      </c>
      <c r="S127" s="94">
        <v>8</v>
      </c>
      <c r="T127" s="94">
        <v>8</v>
      </c>
      <c r="U127" s="94">
        <v>8</v>
      </c>
      <c r="V127" s="94">
        <v>8</v>
      </c>
      <c r="W127" s="94">
        <v>8</v>
      </c>
      <c r="X127" s="94">
        <v>4</v>
      </c>
      <c r="Y127" s="94">
        <v>4</v>
      </c>
      <c r="Z127" s="94">
        <v>4</v>
      </c>
      <c r="AA127" s="94">
        <v>8</v>
      </c>
      <c r="AB127" s="94">
        <v>4</v>
      </c>
      <c r="AC127" s="94">
        <v>5</v>
      </c>
      <c r="AD127" s="94">
        <v>10</v>
      </c>
      <c r="AE127" s="94">
        <v>5</v>
      </c>
      <c r="AF127" s="94">
        <v>30</v>
      </c>
      <c r="AG127" s="94"/>
      <c r="AH127" s="71"/>
      <c r="AI127" s="94">
        <v>30</v>
      </c>
      <c r="AJ127" s="94">
        <v>5</v>
      </c>
      <c r="AK127" s="94">
        <f>SUBTOTAL(9,L127:AJ127)</f>
        <v>229</v>
      </c>
      <c r="AL127" s="79">
        <f>+J127*AK127</f>
        <v>524696.25</v>
      </c>
    </row>
    <row r="128" spans="1:38">
      <c r="A128" s="163">
        <v>126</v>
      </c>
      <c r="B128" s="188" t="s">
        <v>864</v>
      </c>
      <c r="C128" s="181" t="s">
        <v>865</v>
      </c>
      <c r="D128" s="185" t="s">
        <v>825</v>
      </c>
      <c r="E128" s="169">
        <v>0</v>
      </c>
      <c r="F128" s="165">
        <v>0</v>
      </c>
      <c r="G128" s="165">
        <v>0</v>
      </c>
      <c r="H128" s="166">
        <v>0</v>
      </c>
      <c r="I128" s="167">
        <v>0</v>
      </c>
      <c r="J128" s="165">
        <v>0</v>
      </c>
      <c r="K128" s="168">
        <v>0</v>
      </c>
      <c r="L128" s="192">
        <v>366</v>
      </c>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row>
    <row r="129" spans="1:38">
      <c r="A129" s="163">
        <v>127</v>
      </c>
      <c r="B129" s="189" t="s">
        <v>866</v>
      </c>
      <c r="C129" s="180" t="s">
        <v>867</v>
      </c>
      <c r="D129" s="185" t="s">
        <v>825</v>
      </c>
      <c r="E129" s="164">
        <v>366</v>
      </c>
      <c r="F129" s="165">
        <v>7602</v>
      </c>
      <c r="G129" s="165">
        <v>2331</v>
      </c>
      <c r="H129" s="166">
        <v>0.25</v>
      </c>
      <c r="I129" s="167">
        <v>0.7700276243093922</v>
      </c>
      <c r="J129" s="165">
        <v>1748.25</v>
      </c>
      <c r="K129" s="168">
        <v>639859.5</v>
      </c>
      <c r="L129" s="71">
        <v>30</v>
      </c>
      <c r="M129" s="94">
        <v>8</v>
      </c>
      <c r="N129" s="191">
        <v>8</v>
      </c>
      <c r="O129" s="71"/>
      <c r="P129" s="94">
        <v>8</v>
      </c>
      <c r="Q129" s="94">
        <v>8</v>
      </c>
      <c r="R129" s="94">
        <v>8</v>
      </c>
      <c r="S129" s="94">
        <v>8</v>
      </c>
      <c r="T129" s="94">
        <v>8</v>
      </c>
      <c r="U129" s="94">
        <v>8</v>
      </c>
      <c r="V129" s="94">
        <v>8</v>
      </c>
      <c r="W129" s="94">
        <v>8</v>
      </c>
      <c r="X129" s="94">
        <v>4</v>
      </c>
      <c r="Y129" s="94">
        <v>4</v>
      </c>
      <c r="Z129" s="94">
        <v>4</v>
      </c>
      <c r="AA129" s="94">
        <v>8</v>
      </c>
      <c r="AB129" s="94">
        <v>4</v>
      </c>
      <c r="AC129" s="94">
        <v>5</v>
      </c>
      <c r="AD129" s="71"/>
      <c r="AE129" s="71"/>
      <c r="AF129" s="71"/>
      <c r="AG129" s="94"/>
      <c r="AH129" s="71"/>
      <c r="AI129" s="94">
        <v>10</v>
      </c>
      <c r="AJ129" s="71"/>
      <c r="AK129" s="94">
        <f>SUBTOTAL(9,L129:AJ129)</f>
        <v>149</v>
      </c>
      <c r="AL129" s="79">
        <f>+J129*AK129</f>
        <v>260489.25</v>
      </c>
    </row>
    <row r="130" spans="1:38">
      <c r="A130" s="163">
        <v>128</v>
      </c>
      <c r="B130" s="182" t="s">
        <v>868</v>
      </c>
      <c r="C130" s="177" t="s">
        <v>869</v>
      </c>
      <c r="D130" s="185" t="s">
        <v>825</v>
      </c>
      <c r="E130" s="164">
        <v>0</v>
      </c>
      <c r="F130" s="165">
        <v>0</v>
      </c>
      <c r="G130" s="165">
        <v>0</v>
      </c>
      <c r="H130" s="166">
        <v>0</v>
      </c>
      <c r="I130" s="167">
        <v>0</v>
      </c>
      <c r="J130" s="165">
        <v>0</v>
      </c>
      <c r="K130" s="168">
        <v>0</v>
      </c>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row>
    <row r="131" spans="1:38">
      <c r="A131" s="163">
        <v>129</v>
      </c>
      <c r="B131" s="182" t="s">
        <v>870</v>
      </c>
      <c r="C131" s="177" t="s">
        <v>871</v>
      </c>
      <c r="D131" s="185" t="s">
        <v>825</v>
      </c>
      <c r="E131" s="164">
        <v>0</v>
      </c>
      <c r="F131" s="165">
        <v>0</v>
      </c>
      <c r="G131" s="165">
        <v>0</v>
      </c>
      <c r="H131" s="166">
        <v>0</v>
      </c>
      <c r="I131" s="167">
        <v>0</v>
      </c>
      <c r="J131" s="165">
        <v>0</v>
      </c>
      <c r="K131" s="168">
        <v>0</v>
      </c>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row>
    <row r="132" spans="1:38">
      <c r="A132" s="163">
        <v>130</v>
      </c>
      <c r="B132" s="182" t="s">
        <v>872</v>
      </c>
      <c r="C132" s="177" t="s">
        <v>873</v>
      </c>
      <c r="D132" s="185" t="s">
        <v>874</v>
      </c>
      <c r="E132" s="164">
        <v>0</v>
      </c>
      <c r="F132" s="165">
        <v>0</v>
      </c>
      <c r="G132" s="165">
        <v>0</v>
      </c>
      <c r="H132" s="166">
        <v>0</v>
      </c>
      <c r="I132" s="167">
        <v>0</v>
      </c>
      <c r="J132" s="165">
        <v>0</v>
      </c>
      <c r="K132" s="168">
        <v>0</v>
      </c>
      <c r="L132" s="192">
        <v>30</v>
      </c>
      <c r="M132" s="71"/>
      <c r="N132" s="71"/>
      <c r="O132" s="192">
        <v>2</v>
      </c>
      <c r="P132" s="71"/>
      <c r="Q132" s="71"/>
      <c r="R132" s="71"/>
      <c r="S132" s="190">
        <v>4</v>
      </c>
      <c r="T132" s="71"/>
      <c r="U132" s="71"/>
      <c r="V132" s="71"/>
      <c r="W132" s="71"/>
      <c r="X132" s="71"/>
      <c r="Y132" s="71"/>
      <c r="Z132" s="71"/>
      <c r="AA132" s="71"/>
      <c r="AB132" s="71"/>
      <c r="AC132" s="71"/>
      <c r="AD132" s="71"/>
      <c r="AE132" s="71"/>
      <c r="AF132" s="71"/>
      <c r="AG132" s="94"/>
      <c r="AH132" s="190">
        <v>3</v>
      </c>
      <c r="AI132" s="71"/>
      <c r="AJ132" s="192">
        <v>2</v>
      </c>
      <c r="AK132" s="71">
        <f t="shared" ref="AK132:AK138" si="18">SUBTOTAL(9,L132:AJ132)</f>
        <v>41</v>
      </c>
      <c r="AL132" s="79">
        <f t="shared" ref="AL132:AL138" si="19">+J132*AK132</f>
        <v>0</v>
      </c>
    </row>
    <row r="133" spans="1:38">
      <c r="A133" s="163">
        <v>131</v>
      </c>
      <c r="B133" s="182" t="s">
        <v>875</v>
      </c>
      <c r="C133" s="177" t="s">
        <v>876</v>
      </c>
      <c r="D133" s="185" t="s">
        <v>874</v>
      </c>
      <c r="E133" s="164">
        <v>0</v>
      </c>
      <c r="F133" s="165">
        <v>0</v>
      </c>
      <c r="G133" s="165">
        <v>0</v>
      </c>
      <c r="H133" s="166">
        <v>0</v>
      </c>
      <c r="I133" s="167">
        <v>0</v>
      </c>
      <c r="J133" s="165">
        <v>0</v>
      </c>
      <c r="K133" s="168">
        <v>0</v>
      </c>
      <c r="L133" s="192">
        <v>30</v>
      </c>
      <c r="M133" s="71"/>
      <c r="N133" s="71"/>
      <c r="O133" s="192">
        <v>2</v>
      </c>
      <c r="P133" s="71"/>
      <c r="Q133" s="71"/>
      <c r="R133" s="71"/>
      <c r="S133" s="190">
        <v>4</v>
      </c>
      <c r="T133" s="71"/>
      <c r="U133" s="71"/>
      <c r="V133" s="71"/>
      <c r="W133" s="71"/>
      <c r="X133" s="71"/>
      <c r="Y133" s="71"/>
      <c r="Z133" s="71"/>
      <c r="AA133" s="71"/>
      <c r="AB133" s="71"/>
      <c r="AC133" s="71"/>
      <c r="AD133" s="71"/>
      <c r="AE133" s="71"/>
      <c r="AF133" s="71"/>
      <c r="AG133" s="94"/>
      <c r="AH133" s="190">
        <v>3</v>
      </c>
      <c r="AI133" s="71"/>
      <c r="AJ133" s="192">
        <v>2</v>
      </c>
      <c r="AK133" s="71">
        <f t="shared" si="18"/>
        <v>41</v>
      </c>
      <c r="AL133" s="79">
        <f t="shared" si="19"/>
        <v>0</v>
      </c>
    </row>
    <row r="134" spans="1:38">
      <c r="A134" s="163">
        <v>132</v>
      </c>
      <c r="B134" s="182" t="s">
        <v>877</v>
      </c>
      <c r="C134" s="177" t="s">
        <v>878</v>
      </c>
      <c r="D134" s="185" t="s">
        <v>874</v>
      </c>
      <c r="E134" s="164">
        <v>0</v>
      </c>
      <c r="F134" s="165">
        <v>0</v>
      </c>
      <c r="G134" s="165">
        <v>0</v>
      </c>
      <c r="H134" s="166">
        <v>0</v>
      </c>
      <c r="I134" s="167">
        <v>0</v>
      </c>
      <c r="J134" s="165">
        <v>0</v>
      </c>
      <c r="K134" s="168">
        <v>0</v>
      </c>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9">
        <f t="shared" si="19"/>
        <v>0</v>
      </c>
    </row>
    <row r="135" spans="1:38">
      <c r="A135" s="163">
        <v>133</v>
      </c>
      <c r="B135" s="182" t="s">
        <v>879</v>
      </c>
      <c r="C135" s="178" t="s">
        <v>880</v>
      </c>
      <c r="D135" s="185" t="s">
        <v>874</v>
      </c>
      <c r="E135" s="164">
        <v>0</v>
      </c>
      <c r="F135" s="165">
        <v>0</v>
      </c>
      <c r="G135" s="165">
        <v>0</v>
      </c>
      <c r="H135" s="166">
        <v>0</v>
      </c>
      <c r="I135" s="167">
        <v>0</v>
      </c>
      <c r="J135" s="165">
        <v>0</v>
      </c>
      <c r="K135" s="168">
        <v>0</v>
      </c>
      <c r="L135" s="192">
        <v>30</v>
      </c>
      <c r="M135" s="71"/>
      <c r="N135" s="71"/>
      <c r="O135" s="192">
        <v>2</v>
      </c>
      <c r="P135" s="71"/>
      <c r="Q135" s="71"/>
      <c r="R135" s="71"/>
      <c r="S135" s="190">
        <v>4</v>
      </c>
      <c r="T135" s="71"/>
      <c r="U135" s="71"/>
      <c r="V135" s="71"/>
      <c r="W135" s="71"/>
      <c r="X135" s="71"/>
      <c r="Y135" s="71"/>
      <c r="Z135" s="71"/>
      <c r="AA135" s="71"/>
      <c r="AB135" s="71"/>
      <c r="AC135" s="71"/>
      <c r="AD135" s="71"/>
      <c r="AE135" s="71"/>
      <c r="AF135" s="71"/>
      <c r="AG135" s="94"/>
      <c r="AH135" s="190">
        <v>3</v>
      </c>
      <c r="AI135" s="71"/>
      <c r="AJ135" s="192">
        <v>2</v>
      </c>
      <c r="AK135" s="71">
        <f t="shared" si="18"/>
        <v>41</v>
      </c>
      <c r="AL135" s="79">
        <f t="shared" si="19"/>
        <v>0</v>
      </c>
    </row>
    <row r="136" spans="1:38">
      <c r="A136" s="163">
        <v>134</v>
      </c>
      <c r="B136" s="182" t="s">
        <v>881</v>
      </c>
      <c r="C136" s="177" t="s">
        <v>882</v>
      </c>
      <c r="D136" s="185" t="s">
        <v>874</v>
      </c>
      <c r="E136" s="164">
        <v>0</v>
      </c>
      <c r="F136" s="165">
        <v>0</v>
      </c>
      <c r="G136" s="165">
        <v>0</v>
      </c>
      <c r="H136" s="166">
        <v>0</v>
      </c>
      <c r="I136" s="167">
        <v>0</v>
      </c>
      <c r="J136" s="165">
        <v>0</v>
      </c>
      <c r="K136" s="168">
        <v>0</v>
      </c>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9">
        <f t="shared" si="19"/>
        <v>0</v>
      </c>
    </row>
    <row r="137" spans="1:38">
      <c r="A137" s="163">
        <v>135</v>
      </c>
      <c r="B137" s="182" t="s">
        <v>883</v>
      </c>
      <c r="C137" s="178" t="s">
        <v>884</v>
      </c>
      <c r="D137" s="185" t="s">
        <v>885</v>
      </c>
      <c r="E137" s="164">
        <v>0</v>
      </c>
      <c r="F137" s="165">
        <v>0</v>
      </c>
      <c r="G137" s="165">
        <v>0</v>
      </c>
      <c r="H137" s="166">
        <v>0</v>
      </c>
      <c r="I137" s="167">
        <v>0</v>
      </c>
      <c r="J137" s="165">
        <v>0</v>
      </c>
      <c r="K137" s="168">
        <v>0</v>
      </c>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9">
        <f t="shared" si="19"/>
        <v>0</v>
      </c>
    </row>
    <row r="138" spans="1:38">
      <c r="A138" s="163">
        <v>136</v>
      </c>
      <c r="B138" s="182" t="s">
        <v>886</v>
      </c>
      <c r="C138" s="178" t="s">
        <v>887</v>
      </c>
      <c r="D138" s="185" t="s">
        <v>874</v>
      </c>
      <c r="E138" s="164">
        <v>3</v>
      </c>
      <c r="F138" s="165">
        <v>9793</v>
      </c>
      <c r="G138" s="165">
        <v>7252</v>
      </c>
      <c r="H138" s="166">
        <v>0.19999999999999996</v>
      </c>
      <c r="I138" s="167">
        <v>0.40757684060042887</v>
      </c>
      <c r="J138" s="165">
        <v>5801.6</v>
      </c>
      <c r="K138" s="168">
        <v>17404.800000000003</v>
      </c>
      <c r="L138" s="71">
        <v>5</v>
      </c>
      <c r="M138" s="71"/>
      <c r="N138" s="91"/>
      <c r="O138" s="71"/>
      <c r="P138" s="71"/>
      <c r="Q138" s="71"/>
      <c r="R138" s="71"/>
      <c r="S138" s="71"/>
      <c r="T138" s="71"/>
      <c r="U138" s="71"/>
      <c r="V138" s="71"/>
      <c r="W138" s="71"/>
      <c r="X138" s="71"/>
      <c r="Y138" s="71"/>
      <c r="Z138" s="71"/>
      <c r="AA138" s="71"/>
      <c r="AB138" s="71"/>
      <c r="AC138" s="71"/>
      <c r="AD138" s="71"/>
      <c r="AE138" s="71"/>
      <c r="AF138" s="71"/>
      <c r="AG138" s="94"/>
      <c r="AH138" s="71"/>
      <c r="AI138" s="71"/>
      <c r="AJ138" s="71"/>
      <c r="AK138" s="71">
        <f t="shared" si="18"/>
        <v>5</v>
      </c>
      <c r="AL138" s="79">
        <f t="shared" si="19"/>
        <v>29008</v>
      </c>
    </row>
    <row r="139" spans="1:38">
      <c r="A139" s="163">
        <v>137</v>
      </c>
      <c r="B139" s="182" t="s">
        <v>888</v>
      </c>
      <c r="C139" s="178" t="s">
        <v>889</v>
      </c>
      <c r="D139" s="185" t="s">
        <v>874</v>
      </c>
      <c r="E139" s="164">
        <v>0</v>
      </c>
      <c r="F139" s="165">
        <v>0</v>
      </c>
      <c r="G139" s="165">
        <v>0</v>
      </c>
      <c r="H139" s="166">
        <v>0</v>
      </c>
      <c r="I139" s="167">
        <v>0</v>
      </c>
      <c r="J139" s="165">
        <v>0</v>
      </c>
      <c r="K139" s="168">
        <v>0</v>
      </c>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row>
    <row r="140" spans="1:38">
      <c r="A140" s="163">
        <v>138</v>
      </c>
      <c r="B140" s="182" t="s">
        <v>890</v>
      </c>
      <c r="C140" s="178" t="s">
        <v>891</v>
      </c>
      <c r="D140" s="185" t="s">
        <v>874</v>
      </c>
      <c r="E140" s="164">
        <v>3</v>
      </c>
      <c r="F140" s="165">
        <v>6044</v>
      </c>
      <c r="G140" s="165">
        <v>2720</v>
      </c>
      <c r="H140" s="166">
        <v>0.2</v>
      </c>
      <c r="I140" s="167">
        <v>0.63997352746525482</v>
      </c>
      <c r="J140" s="165">
        <v>2176</v>
      </c>
      <c r="K140" s="168">
        <v>6528</v>
      </c>
      <c r="L140" s="71">
        <v>5</v>
      </c>
      <c r="M140" s="71"/>
      <c r="N140" s="91"/>
      <c r="O140" s="71"/>
      <c r="P140" s="71"/>
      <c r="Q140" s="71"/>
      <c r="R140" s="71"/>
      <c r="S140" s="71"/>
      <c r="T140" s="71"/>
      <c r="U140" s="71"/>
      <c r="V140" s="71"/>
      <c r="W140" s="71"/>
      <c r="X140" s="71"/>
      <c r="Y140" s="71"/>
      <c r="Z140" s="71"/>
      <c r="AA140" s="71"/>
      <c r="AB140" s="71"/>
      <c r="AC140" s="71"/>
      <c r="AD140" s="71"/>
      <c r="AE140" s="71"/>
      <c r="AF140" s="71"/>
      <c r="AG140" s="94"/>
      <c r="AH140" s="71"/>
      <c r="AI140" s="71"/>
      <c r="AJ140" s="71"/>
      <c r="AK140" s="71">
        <f>SUBTOTAL(9,L140:AJ140)</f>
        <v>5</v>
      </c>
      <c r="AL140" s="79">
        <f>+J140*AK140</f>
        <v>10880</v>
      </c>
    </row>
    <row r="141" spans="1:38">
      <c r="A141" s="163">
        <v>139</v>
      </c>
      <c r="B141" s="182" t="s">
        <v>892</v>
      </c>
      <c r="C141" s="177" t="s">
        <v>893</v>
      </c>
      <c r="D141" s="185" t="s">
        <v>894</v>
      </c>
      <c r="E141" s="164">
        <v>0</v>
      </c>
      <c r="F141" s="165">
        <v>0</v>
      </c>
      <c r="G141" s="165">
        <v>0</v>
      </c>
      <c r="H141" s="166">
        <v>0</v>
      </c>
      <c r="I141" s="167">
        <v>0</v>
      </c>
      <c r="J141" s="165">
        <v>0</v>
      </c>
      <c r="K141" s="168">
        <v>0</v>
      </c>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row>
    <row r="142" spans="1:38">
      <c r="A142" s="163">
        <v>140</v>
      </c>
      <c r="B142" s="182" t="s">
        <v>895</v>
      </c>
      <c r="C142" s="177" t="s">
        <v>896</v>
      </c>
      <c r="D142" s="185" t="s">
        <v>894</v>
      </c>
      <c r="E142" s="164">
        <v>0</v>
      </c>
      <c r="F142" s="165">
        <v>0</v>
      </c>
      <c r="G142" s="165">
        <v>0</v>
      </c>
      <c r="H142" s="166">
        <v>0</v>
      </c>
      <c r="I142" s="167">
        <v>0</v>
      </c>
      <c r="J142" s="165">
        <v>0</v>
      </c>
      <c r="K142" s="168">
        <v>0</v>
      </c>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row>
    <row r="143" spans="1:38">
      <c r="A143" s="163">
        <v>141</v>
      </c>
      <c r="B143" s="182" t="s">
        <v>897</v>
      </c>
      <c r="C143" s="177" t="s">
        <v>898</v>
      </c>
      <c r="D143" s="185" t="s">
        <v>899</v>
      </c>
      <c r="E143" s="164">
        <v>30</v>
      </c>
      <c r="F143" s="165">
        <v>2195</v>
      </c>
      <c r="G143" s="165">
        <v>1283</v>
      </c>
      <c r="H143" s="166">
        <v>0.19999999999999993</v>
      </c>
      <c r="I143" s="167">
        <v>0.53239179954441918</v>
      </c>
      <c r="J143" s="165">
        <v>1026.4000000000001</v>
      </c>
      <c r="K143" s="168">
        <v>30792.000000000004</v>
      </c>
      <c r="L143" s="71"/>
      <c r="M143" s="71"/>
      <c r="N143" s="91"/>
      <c r="O143" s="71"/>
      <c r="P143" s="71"/>
      <c r="Q143" s="71"/>
      <c r="R143" s="71"/>
      <c r="S143" s="71"/>
      <c r="T143" s="71"/>
      <c r="U143" s="71"/>
      <c r="V143" s="71"/>
      <c r="W143" s="71"/>
      <c r="X143" s="71"/>
      <c r="Y143" s="71"/>
      <c r="Z143" s="71"/>
      <c r="AA143" s="71"/>
      <c r="AB143" s="71"/>
      <c r="AC143" s="71"/>
      <c r="AD143" s="71"/>
      <c r="AE143" s="71"/>
      <c r="AF143" s="71"/>
      <c r="AG143" s="94"/>
      <c r="AH143" s="71"/>
      <c r="AI143" s="71"/>
      <c r="AJ143" s="71"/>
      <c r="AK143" s="71">
        <f>SUBTOTAL(9,L143:AJ143)</f>
        <v>0</v>
      </c>
      <c r="AL143" s="79">
        <f>+J143*AK143</f>
        <v>0</v>
      </c>
    </row>
    <row r="144" spans="1:38">
      <c r="A144" s="163">
        <v>142</v>
      </c>
      <c r="B144" s="182" t="s">
        <v>900</v>
      </c>
      <c r="C144" s="177" t="s">
        <v>901</v>
      </c>
      <c r="D144" s="185" t="s">
        <v>899</v>
      </c>
      <c r="E144" s="164">
        <v>0</v>
      </c>
      <c r="F144" s="165">
        <v>0</v>
      </c>
      <c r="G144" s="165">
        <v>0</v>
      </c>
      <c r="H144" s="166">
        <v>0</v>
      </c>
      <c r="I144" s="167">
        <v>0</v>
      </c>
      <c r="J144" s="165">
        <v>0</v>
      </c>
      <c r="K144" s="168">
        <v>0</v>
      </c>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row>
    <row r="145" spans="1:38">
      <c r="A145" s="163">
        <v>143</v>
      </c>
      <c r="B145" s="182" t="s">
        <v>902</v>
      </c>
      <c r="C145" s="178" t="s">
        <v>903</v>
      </c>
      <c r="D145" s="185" t="s">
        <v>899</v>
      </c>
      <c r="E145" s="164">
        <v>1385</v>
      </c>
      <c r="F145" s="165">
        <v>16478</v>
      </c>
      <c r="G145" s="165">
        <v>8448</v>
      </c>
      <c r="H145" s="166">
        <v>0.25</v>
      </c>
      <c r="I145" s="167">
        <v>0.61548731642189591</v>
      </c>
      <c r="J145" s="165">
        <v>6336</v>
      </c>
      <c r="K145" s="168">
        <v>8775360</v>
      </c>
      <c r="L145" s="71">
        <v>160</v>
      </c>
      <c r="M145" s="71">
        <v>40</v>
      </c>
      <c r="N145" s="91">
        <v>40</v>
      </c>
      <c r="O145" s="71"/>
      <c r="P145" s="71">
        <v>100</v>
      </c>
      <c r="Q145" s="71">
        <v>80</v>
      </c>
      <c r="R145" s="71">
        <v>60</v>
      </c>
      <c r="S145" s="71">
        <v>10</v>
      </c>
      <c r="T145" s="71">
        <v>80</v>
      </c>
      <c r="U145" s="71">
        <v>60</v>
      </c>
      <c r="V145" s="71">
        <v>80</v>
      </c>
      <c r="W145" s="71">
        <v>20</v>
      </c>
      <c r="X145" s="71">
        <v>40</v>
      </c>
      <c r="Y145" s="71">
        <v>40</v>
      </c>
      <c r="Z145" s="71">
        <v>40</v>
      </c>
      <c r="AA145" s="71">
        <v>60</v>
      </c>
      <c r="AB145" s="71">
        <v>20</v>
      </c>
      <c r="AC145" s="71">
        <v>30</v>
      </c>
      <c r="AD145" s="71">
        <v>30</v>
      </c>
      <c r="AE145" s="71">
        <v>30</v>
      </c>
      <c r="AF145" s="71">
        <v>35</v>
      </c>
      <c r="AG145" s="94"/>
      <c r="AH145" s="71">
        <v>30</v>
      </c>
      <c r="AI145" s="71"/>
      <c r="AJ145" s="94">
        <v>10</v>
      </c>
      <c r="AK145" s="94">
        <f>SUBTOTAL(9,L145:AJ145)</f>
        <v>1095</v>
      </c>
      <c r="AL145" s="79">
        <f>+J145*AK145</f>
        <v>6937920</v>
      </c>
    </row>
    <row r="146" spans="1:38">
      <c r="A146" s="163">
        <v>144</v>
      </c>
      <c r="B146" s="182" t="s">
        <v>904</v>
      </c>
      <c r="C146" s="177" t="s">
        <v>905</v>
      </c>
      <c r="D146" s="185" t="s">
        <v>899</v>
      </c>
      <c r="E146" s="164">
        <v>0</v>
      </c>
      <c r="F146" s="165">
        <v>0</v>
      </c>
      <c r="G146" s="165">
        <v>0</v>
      </c>
      <c r="H146" s="166">
        <v>0</v>
      </c>
      <c r="I146" s="167">
        <v>0</v>
      </c>
      <c r="J146" s="165">
        <v>0</v>
      </c>
      <c r="K146" s="168">
        <v>0</v>
      </c>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row>
    <row r="147" spans="1:38">
      <c r="A147" s="163">
        <v>145</v>
      </c>
      <c r="B147" s="182" t="s">
        <v>906</v>
      </c>
      <c r="C147" s="178" t="s">
        <v>907</v>
      </c>
      <c r="D147" s="185" t="s">
        <v>899</v>
      </c>
      <c r="E147" s="164">
        <v>0</v>
      </c>
      <c r="F147" s="165">
        <v>0</v>
      </c>
      <c r="G147" s="165">
        <v>0</v>
      </c>
      <c r="H147" s="166">
        <v>0</v>
      </c>
      <c r="I147" s="167">
        <v>0</v>
      </c>
      <c r="J147" s="165">
        <v>0</v>
      </c>
      <c r="K147" s="168">
        <v>0</v>
      </c>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row>
    <row r="148" spans="1:38">
      <c r="A148" s="163">
        <v>146</v>
      </c>
      <c r="B148" s="182" t="s">
        <v>908</v>
      </c>
      <c r="C148" s="178" t="s">
        <v>909</v>
      </c>
      <c r="D148" s="185" t="s">
        <v>899</v>
      </c>
      <c r="E148" s="164">
        <v>0</v>
      </c>
      <c r="F148" s="165">
        <v>0</v>
      </c>
      <c r="G148" s="165">
        <v>0</v>
      </c>
      <c r="H148" s="166">
        <v>0</v>
      </c>
      <c r="I148" s="167">
        <v>0</v>
      </c>
      <c r="J148" s="165">
        <v>0</v>
      </c>
      <c r="K148" s="168">
        <v>0</v>
      </c>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row>
    <row r="149" spans="1:38">
      <c r="A149" s="163">
        <v>147</v>
      </c>
      <c r="B149" s="182" t="s">
        <v>910</v>
      </c>
      <c r="C149" s="177" t="s">
        <v>911</v>
      </c>
      <c r="D149" s="185" t="s">
        <v>899</v>
      </c>
      <c r="E149" s="164">
        <v>0</v>
      </c>
      <c r="F149" s="165">
        <v>0</v>
      </c>
      <c r="G149" s="165">
        <v>0</v>
      </c>
      <c r="H149" s="166">
        <v>0</v>
      </c>
      <c r="I149" s="167">
        <v>0</v>
      </c>
      <c r="J149" s="165">
        <v>0</v>
      </c>
      <c r="K149" s="168">
        <v>0</v>
      </c>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row>
    <row r="150" spans="1:38">
      <c r="A150" s="163">
        <v>148</v>
      </c>
      <c r="B150" s="182" t="s">
        <v>912</v>
      </c>
      <c r="C150" s="177" t="s">
        <v>913</v>
      </c>
      <c r="D150" s="185" t="s">
        <v>899</v>
      </c>
      <c r="E150" s="164">
        <v>0</v>
      </c>
      <c r="F150" s="165">
        <v>0</v>
      </c>
      <c r="G150" s="165">
        <v>0</v>
      </c>
      <c r="H150" s="166">
        <v>0</v>
      </c>
      <c r="I150" s="167">
        <v>0</v>
      </c>
      <c r="J150" s="165">
        <v>0</v>
      </c>
      <c r="K150" s="168">
        <v>0</v>
      </c>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row>
    <row r="151" spans="1:38">
      <c r="A151" s="163">
        <v>149</v>
      </c>
      <c r="B151" s="182" t="s">
        <v>914</v>
      </c>
      <c r="C151" s="177" t="s">
        <v>915</v>
      </c>
      <c r="D151" s="185" t="s">
        <v>899</v>
      </c>
      <c r="E151" s="164">
        <v>0</v>
      </c>
      <c r="F151" s="165">
        <v>0</v>
      </c>
      <c r="G151" s="165">
        <v>0</v>
      </c>
      <c r="H151" s="166">
        <v>0</v>
      </c>
      <c r="I151" s="167">
        <v>0</v>
      </c>
      <c r="J151" s="165">
        <v>0</v>
      </c>
      <c r="K151" s="168">
        <v>0</v>
      </c>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row>
    <row r="152" spans="1:38">
      <c r="A152" s="163">
        <v>150</v>
      </c>
      <c r="B152" s="182" t="s">
        <v>916</v>
      </c>
      <c r="C152" s="177" t="s">
        <v>917</v>
      </c>
      <c r="D152" s="185" t="s">
        <v>1</v>
      </c>
      <c r="E152" s="164">
        <v>0</v>
      </c>
      <c r="F152" s="165">
        <v>0</v>
      </c>
      <c r="G152" s="165">
        <v>0</v>
      </c>
      <c r="H152" s="166">
        <v>0</v>
      </c>
      <c r="I152" s="167">
        <v>0</v>
      </c>
      <c r="J152" s="165">
        <v>0</v>
      </c>
      <c r="K152" s="168">
        <v>0</v>
      </c>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row>
    <row r="153" spans="1:38">
      <c r="A153" s="163">
        <v>151</v>
      </c>
      <c r="B153" s="182" t="s">
        <v>918</v>
      </c>
      <c r="C153" s="177" t="s">
        <v>919</v>
      </c>
      <c r="D153" s="185" t="s">
        <v>1</v>
      </c>
      <c r="E153" s="164">
        <v>1690</v>
      </c>
      <c r="F153" s="165">
        <v>8581</v>
      </c>
      <c r="G153" s="165">
        <v>5803</v>
      </c>
      <c r="H153" s="166">
        <v>0.25</v>
      </c>
      <c r="I153" s="167">
        <v>0.4928038690129356</v>
      </c>
      <c r="J153" s="165">
        <v>4352.25</v>
      </c>
      <c r="K153" s="168">
        <v>7355302.5</v>
      </c>
      <c r="L153" s="77">
        <v>450</v>
      </c>
      <c r="M153" s="71">
        <v>40</v>
      </c>
      <c r="N153" s="91">
        <v>40</v>
      </c>
      <c r="O153" s="71"/>
      <c r="P153" s="71">
        <v>80</v>
      </c>
      <c r="Q153" s="71">
        <v>80</v>
      </c>
      <c r="R153" s="71">
        <v>60</v>
      </c>
      <c r="S153" s="71"/>
      <c r="T153" s="71">
        <v>80</v>
      </c>
      <c r="U153" s="71">
        <v>60</v>
      </c>
      <c r="V153" s="71">
        <v>80</v>
      </c>
      <c r="W153" s="71">
        <v>20</v>
      </c>
      <c r="X153" s="71">
        <v>40</v>
      </c>
      <c r="Y153" s="71">
        <v>40</v>
      </c>
      <c r="Z153" s="71">
        <v>40</v>
      </c>
      <c r="AA153" s="71">
        <v>60</v>
      </c>
      <c r="AB153" s="71">
        <v>20</v>
      </c>
      <c r="AC153" s="71">
        <v>20</v>
      </c>
      <c r="AD153" s="71">
        <v>40</v>
      </c>
      <c r="AE153" s="71">
        <v>30</v>
      </c>
      <c r="AF153" s="71">
        <v>40</v>
      </c>
      <c r="AG153" s="94"/>
      <c r="AH153" s="71"/>
      <c r="AI153" s="71">
        <v>30</v>
      </c>
      <c r="AJ153" s="94">
        <v>60</v>
      </c>
      <c r="AK153" s="94">
        <f t="shared" ref="AK153:AK154" si="20">SUBTOTAL(9,L153:AJ153)</f>
        <v>1410</v>
      </c>
      <c r="AL153" s="79">
        <f t="shared" ref="AL153:AL154" si="21">+J153*AK153</f>
        <v>6136672.5</v>
      </c>
    </row>
    <row r="154" spans="1:38">
      <c r="A154" s="163">
        <v>152</v>
      </c>
      <c r="B154" s="182" t="s">
        <v>920</v>
      </c>
      <c r="C154" s="177" t="s">
        <v>921</v>
      </c>
      <c r="D154" s="185" t="s">
        <v>1</v>
      </c>
      <c r="E154" s="164">
        <v>2</v>
      </c>
      <c r="F154" s="165">
        <v>31205</v>
      </c>
      <c r="G154" s="165">
        <v>1916</v>
      </c>
      <c r="H154" s="166">
        <v>0.2</v>
      </c>
      <c r="I154" s="167">
        <v>0.95087966672007695</v>
      </c>
      <c r="J154" s="165">
        <v>1532.8</v>
      </c>
      <c r="K154" s="168">
        <v>3065.6</v>
      </c>
      <c r="L154" s="71"/>
      <c r="M154" s="71"/>
      <c r="N154" s="91"/>
      <c r="O154" s="71"/>
      <c r="P154" s="71"/>
      <c r="Q154" s="71"/>
      <c r="R154" s="71"/>
      <c r="S154" s="71"/>
      <c r="T154" s="71"/>
      <c r="U154" s="71"/>
      <c r="V154" s="71"/>
      <c r="W154" s="71"/>
      <c r="X154" s="71"/>
      <c r="Y154" s="71"/>
      <c r="Z154" s="71"/>
      <c r="AA154" s="71"/>
      <c r="AB154" s="71"/>
      <c r="AC154" s="71"/>
      <c r="AD154" s="71"/>
      <c r="AE154" s="71"/>
      <c r="AF154" s="71"/>
      <c r="AG154" s="94"/>
      <c r="AH154" s="71"/>
      <c r="AI154" s="71"/>
      <c r="AJ154" s="71"/>
      <c r="AK154" s="71">
        <f t="shared" si="20"/>
        <v>0</v>
      </c>
      <c r="AL154" s="79">
        <f t="shared" si="21"/>
        <v>0</v>
      </c>
    </row>
    <row r="155" spans="1:38">
      <c r="A155" s="163">
        <v>153</v>
      </c>
      <c r="B155" s="182" t="s">
        <v>922</v>
      </c>
      <c r="C155" s="177" t="s">
        <v>923</v>
      </c>
      <c r="D155" s="185" t="s">
        <v>1</v>
      </c>
      <c r="E155" s="164">
        <v>0</v>
      </c>
      <c r="F155" s="165">
        <v>0</v>
      </c>
      <c r="G155" s="165">
        <v>0</v>
      </c>
      <c r="H155" s="166">
        <v>0</v>
      </c>
      <c r="I155" s="167">
        <v>0</v>
      </c>
      <c r="J155" s="165">
        <v>0</v>
      </c>
      <c r="K155" s="168">
        <v>0</v>
      </c>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row>
    <row r="156" spans="1:38">
      <c r="A156" s="163">
        <v>154</v>
      </c>
      <c r="B156" s="182" t="s">
        <v>924</v>
      </c>
      <c r="C156" s="177" t="s">
        <v>925</v>
      </c>
      <c r="D156" s="185" t="s">
        <v>894</v>
      </c>
      <c r="E156" s="164">
        <v>5</v>
      </c>
      <c r="F156" s="165">
        <v>5289</v>
      </c>
      <c r="G156" s="165">
        <v>2779</v>
      </c>
      <c r="H156" s="166">
        <v>0.20000000000000007</v>
      </c>
      <c r="I156" s="167">
        <v>0.57965588958215175</v>
      </c>
      <c r="J156" s="165">
        <v>2223.1999999999998</v>
      </c>
      <c r="K156" s="168">
        <v>11116</v>
      </c>
      <c r="L156" s="71">
        <v>5</v>
      </c>
      <c r="M156" s="71"/>
      <c r="N156" s="91"/>
      <c r="O156" s="71"/>
      <c r="P156" s="71"/>
      <c r="Q156" s="71"/>
      <c r="R156" s="71"/>
      <c r="S156" s="71"/>
      <c r="T156" s="71"/>
      <c r="U156" s="71"/>
      <c r="V156" s="71"/>
      <c r="W156" s="71"/>
      <c r="X156" s="71"/>
      <c r="Y156" s="71"/>
      <c r="Z156" s="71"/>
      <c r="AA156" s="71"/>
      <c r="AB156" s="71"/>
      <c r="AC156" s="71"/>
      <c r="AD156" s="71"/>
      <c r="AE156" s="71"/>
      <c r="AF156" s="71"/>
      <c r="AG156" s="94"/>
      <c r="AH156" s="71"/>
      <c r="AI156" s="71"/>
      <c r="AJ156" s="71"/>
      <c r="AK156" s="71">
        <f>SUBTOTAL(9,L156:AJ156)</f>
        <v>5</v>
      </c>
      <c r="AL156" s="79">
        <f>+J156*AK156</f>
        <v>11116</v>
      </c>
    </row>
    <row r="157" spans="1:38">
      <c r="A157" s="163">
        <v>155</v>
      </c>
      <c r="B157" s="182" t="s">
        <v>926</v>
      </c>
      <c r="C157" s="177" t="s">
        <v>927</v>
      </c>
      <c r="D157" s="185" t="s">
        <v>928</v>
      </c>
      <c r="E157" s="164">
        <v>0</v>
      </c>
      <c r="F157" s="165">
        <v>0</v>
      </c>
      <c r="G157" s="165">
        <v>0</v>
      </c>
      <c r="H157" s="166">
        <v>0</v>
      </c>
      <c r="I157" s="167">
        <v>0</v>
      </c>
      <c r="J157" s="165">
        <v>0</v>
      </c>
      <c r="K157" s="168">
        <v>0</v>
      </c>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row>
    <row r="158" spans="1:38">
      <c r="A158" s="163">
        <v>156</v>
      </c>
      <c r="B158" s="182" t="s">
        <v>929</v>
      </c>
      <c r="C158" s="177" t="s">
        <v>930</v>
      </c>
      <c r="D158" s="185" t="s">
        <v>931</v>
      </c>
      <c r="E158" s="164">
        <v>679</v>
      </c>
      <c r="F158" s="165">
        <v>10917</v>
      </c>
      <c r="G158" s="165">
        <v>5342</v>
      </c>
      <c r="H158" s="166">
        <v>0.25</v>
      </c>
      <c r="I158" s="167">
        <v>0.63300357241000271</v>
      </c>
      <c r="J158" s="165">
        <v>4006.5</v>
      </c>
      <c r="K158" s="168">
        <v>2720413.5</v>
      </c>
      <c r="L158" s="71">
        <v>50</v>
      </c>
      <c r="M158" s="71">
        <v>4</v>
      </c>
      <c r="N158" s="91">
        <v>4</v>
      </c>
      <c r="O158" s="71"/>
      <c r="P158" s="71">
        <v>4</v>
      </c>
      <c r="Q158" s="71">
        <v>4</v>
      </c>
      <c r="R158" s="71">
        <v>4</v>
      </c>
      <c r="S158" s="71">
        <v>4</v>
      </c>
      <c r="T158" s="71">
        <v>4</v>
      </c>
      <c r="U158" s="77">
        <v>4</v>
      </c>
      <c r="V158" s="71">
        <v>4</v>
      </c>
      <c r="W158" s="71">
        <v>4</v>
      </c>
      <c r="X158" s="71">
        <v>2</v>
      </c>
      <c r="Y158" s="71">
        <v>2</v>
      </c>
      <c r="Z158" s="71">
        <v>2</v>
      </c>
      <c r="AA158" s="71">
        <v>4</v>
      </c>
      <c r="AB158" s="71">
        <v>2</v>
      </c>
      <c r="AC158" s="71">
        <v>25</v>
      </c>
      <c r="AD158" s="71">
        <v>70</v>
      </c>
      <c r="AE158" s="71">
        <v>15</v>
      </c>
      <c r="AF158" s="71">
        <v>30</v>
      </c>
      <c r="AG158" s="94">
        <v>20</v>
      </c>
      <c r="AH158" s="71">
        <v>30</v>
      </c>
      <c r="AI158" s="71">
        <v>20</v>
      </c>
      <c r="AJ158" s="71"/>
      <c r="AK158" s="71">
        <f t="shared" ref="AK158:AK164" si="22">SUBTOTAL(9,L158:AJ158)</f>
        <v>312</v>
      </c>
      <c r="AL158" s="79">
        <f t="shared" ref="AL158:AL164" si="23">+J158*AK158</f>
        <v>1250028</v>
      </c>
    </row>
    <row r="159" spans="1:38">
      <c r="A159" s="163">
        <v>157</v>
      </c>
      <c r="B159" s="182" t="s">
        <v>932</v>
      </c>
      <c r="C159" s="177" t="s">
        <v>933</v>
      </c>
      <c r="D159" s="185" t="s">
        <v>934</v>
      </c>
      <c r="E159" s="164">
        <v>614</v>
      </c>
      <c r="F159" s="165">
        <v>11891</v>
      </c>
      <c r="G159" s="165">
        <v>7965</v>
      </c>
      <c r="H159" s="166">
        <v>0.25</v>
      </c>
      <c r="I159" s="167">
        <v>0.49762425363720464</v>
      </c>
      <c r="J159" s="165">
        <v>5973.75</v>
      </c>
      <c r="K159" s="168">
        <v>3667882.5</v>
      </c>
      <c r="L159" s="71"/>
      <c r="M159" s="71"/>
      <c r="N159" s="91"/>
      <c r="O159" s="71"/>
      <c r="P159" s="71"/>
      <c r="Q159" s="71"/>
      <c r="R159" s="71"/>
      <c r="S159" s="71"/>
      <c r="T159" s="71"/>
      <c r="U159" s="71"/>
      <c r="V159" s="71"/>
      <c r="W159" s="71"/>
      <c r="X159" s="71"/>
      <c r="Y159" s="71"/>
      <c r="Z159" s="71"/>
      <c r="AA159" s="71"/>
      <c r="AB159" s="71"/>
      <c r="AC159" s="71"/>
      <c r="AD159" s="71">
        <v>30</v>
      </c>
      <c r="AE159" s="71">
        <v>10</v>
      </c>
      <c r="AF159" s="71">
        <v>20</v>
      </c>
      <c r="AG159" s="94"/>
      <c r="AH159" s="71"/>
      <c r="AI159" s="71">
        <v>30</v>
      </c>
      <c r="AJ159" s="94">
        <v>10</v>
      </c>
      <c r="AK159" s="94">
        <f t="shared" si="22"/>
        <v>100</v>
      </c>
      <c r="AL159" s="79">
        <f t="shared" si="23"/>
        <v>597375</v>
      </c>
    </row>
    <row r="160" spans="1:38">
      <c r="A160" s="163">
        <v>158</v>
      </c>
      <c r="B160" s="182" t="s">
        <v>935</v>
      </c>
      <c r="C160" s="177" t="s">
        <v>936</v>
      </c>
      <c r="D160" s="185" t="s">
        <v>928</v>
      </c>
      <c r="E160" s="164">
        <v>95</v>
      </c>
      <c r="F160" s="165">
        <v>14539</v>
      </c>
      <c r="G160" s="165">
        <v>8139</v>
      </c>
      <c r="H160" s="166">
        <v>0.25</v>
      </c>
      <c r="I160" s="167">
        <v>0.58014650251048905</v>
      </c>
      <c r="J160" s="165">
        <v>6104.25</v>
      </c>
      <c r="K160" s="168">
        <v>579903.75</v>
      </c>
      <c r="L160" s="71">
        <v>50</v>
      </c>
      <c r="M160" s="71">
        <v>4</v>
      </c>
      <c r="N160" s="91">
        <v>4</v>
      </c>
      <c r="O160" s="71"/>
      <c r="P160" s="71">
        <v>4</v>
      </c>
      <c r="Q160" s="71">
        <v>4</v>
      </c>
      <c r="R160" s="71">
        <v>4</v>
      </c>
      <c r="S160" s="71">
        <v>4</v>
      </c>
      <c r="T160" s="71">
        <v>4</v>
      </c>
      <c r="U160" s="94">
        <v>4</v>
      </c>
      <c r="V160" s="71">
        <v>4</v>
      </c>
      <c r="W160" s="71">
        <v>4</v>
      </c>
      <c r="X160" s="71">
        <v>2</v>
      </c>
      <c r="Y160" s="71">
        <v>2</v>
      </c>
      <c r="Z160" s="71">
        <v>2</v>
      </c>
      <c r="AA160" s="71">
        <v>4</v>
      </c>
      <c r="AB160" s="71">
        <v>2</v>
      </c>
      <c r="AC160" s="71">
        <v>10</v>
      </c>
      <c r="AD160" s="71">
        <v>10</v>
      </c>
      <c r="AE160" s="71">
        <v>2</v>
      </c>
      <c r="AF160" s="71">
        <v>30</v>
      </c>
      <c r="AG160" s="94"/>
      <c r="AH160" s="71"/>
      <c r="AI160" s="71">
        <v>15</v>
      </c>
      <c r="AJ160" s="94">
        <v>10</v>
      </c>
      <c r="AK160" s="94">
        <f t="shared" si="22"/>
        <v>179</v>
      </c>
      <c r="AL160" s="79">
        <f t="shared" si="23"/>
        <v>1092660.75</v>
      </c>
    </row>
    <row r="161" spans="1:38">
      <c r="A161" s="163">
        <v>159</v>
      </c>
      <c r="B161" s="182" t="s">
        <v>937</v>
      </c>
      <c r="C161" s="177" t="s">
        <v>938</v>
      </c>
      <c r="D161" s="185" t="s">
        <v>939</v>
      </c>
      <c r="E161" s="164">
        <v>112</v>
      </c>
      <c r="F161" s="165">
        <v>6639</v>
      </c>
      <c r="G161" s="165">
        <v>2457</v>
      </c>
      <c r="H161" s="166">
        <v>0.25</v>
      </c>
      <c r="I161" s="167">
        <v>0.72243560777225491</v>
      </c>
      <c r="J161" s="165">
        <v>1842.75</v>
      </c>
      <c r="K161" s="168">
        <v>206388</v>
      </c>
      <c r="L161" s="71">
        <v>15</v>
      </c>
      <c r="M161" s="71">
        <v>4</v>
      </c>
      <c r="N161" s="91">
        <v>4</v>
      </c>
      <c r="O161" s="71">
        <v>4</v>
      </c>
      <c r="P161" s="71">
        <v>4</v>
      </c>
      <c r="Q161" s="71">
        <v>4</v>
      </c>
      <c r="R161" s="71">
        <v>4</v>
      </c>
      <c r="S161" s="71">
        <v>4</v>
      </c>
      <c r="T161" s="71"/>
      <c r="U161" s="71">
        <v>4</v>
      </c>
      <c r="V161" s="71">
        <v>4</v>
      </c>
      <c r="W161" s="71"/>
      <c r="X161" s="71">
        <v>2</v>
      </c>
      <c r="Y161" s="71">
        <v>2</v>
      </c>
      <c r="Z161" s="71">
        <v>2</v>
      </c>
      <c r="AA161" s="71">
        <v>4</v>
      </c>
      <c r="AB161" s="71">
        <v>2</v>
      </c>
      <c r="AC161" s="71">
        <v>5</v>
      </c>
      <c r="AD161" s="71">
        <v>6</v>
      </c>
      <c r="AE161" s="71">
        <v>5</v>
      </c>
      <c r="AF161" s="71">
        <v>20</v>
      </c>
      <c r="AG161" s="94"/>
      <c r="AH161" s="71"/>
      <c r="AI161" s="71">
        <v>18</v>
      </c>
      <c r="AJ161" s="71"/>
      <c r="AK161" s="71">
        <f t="shared" si="22"/>
        <v>117</v>
      </c>
      <c r="AL161" s="79">
        <f t="shared" si="23"/>
        <v>215601.75</v>
      </c>
    </row>
    <row r="162" spans="1:38">
      <c r="A162" s="163">
        <v>160</v>
      </c>
      <c r="B162" s="182" t="s">
        <v>940</v>
      </c>
      <c r="C162" s="177" t="s">
        <v>941</v>
      </c>
      <c r="D162" s="185" t="s">
        <v>942</v>
      </c>
      <c r="E162" s="164">
        <v>60</v>
      </c>
      <c r="F162" s="165">
        <v>3318</v>
      </c>
      <c r="G162" s="165">
        <v>1832</v>
      </c>
      <c r="H162" s="166">
        <v>0.20000000000000004</v>
      </c>
      <c r="I162" s="167">
        <v>0.558288125376733</v>
      </c>
      <c r="J162" s="165">
        <v>1465.6</v>
      </c>
      <c r="K162" s="168">
        <v>87936</v>
      </c>
      <c r="L162" s="71">
        <v>50</v>
      </c>
      <c r="M162" s="71"/>
      <c r="N162" s="91"/>
      <c r="O162" s="71"/>
      <c r="P162" s="71"/>
      <c r="Q162" s="71"/>
      <c r="R162" s="71"/>
      <c r="S162" s="71"/>
      <c r="T162" s="71"/>
      <c r="U162" s="71"/>
      <c r="V162" s="71"/>
      <c r="W162" s="71"/>
      <c r="X162" s="71"/>
      <c r="Y162" s="71"/>
      <c r="Z162" s="71"/>
      <c r="AA162" s="71"/>
      <c r="AB162" s="71"/>
      <c r="AC162" s="71"/>
      <c r="AD162" s="71">
        <v>10</v>
      </c>
      <c r="AE162" s="71">
        <v>30</v>
      </c>
      <c r="AF162" s="71">
        <v>30</v>
      </c>
      <c r="AG162" s="94"/>
      <c r="AH162" s="71"/>
      <c r="AI162" s="71">
        <v>20</v>
      </c>
      <c r="AJ162" s="94">
        <v>50</v>
      </c>
      <c r="AK162" s="94">
        <f t="shared" si="22"/>
        <v>190</v>
      </c>
      <c r="AL162" s="79">
        <f t="shared" si="23"/>
        <v>278464</v>
      </c>
    </row>
    <row r="163" spans="1:38">
      <c r="A163" s="163">
        <v>161</v>
      </c>
      <c r="B163" s="182" t="s">
        <v>943</v>
      </c>
      <c r="C163" s="177" t="s">
        <v>944</v>
      </c>
      <c r="D163" s="185" t="s">
        <v>1</v>
      </c>
      <c r="E163" s="164">
        <v>18</v>
      </c>
      <c r="F163" s="165">
        <v>3484</v>
      </c>
      <c r="G163" s="165">
        <v>2472</v>
      </c>
      <c r="H163" s="166">
        <v>0.20000000000000004</v>
      </c>
      <c r="I163" s="167">
        <v>0.43237657864523538</v>
      </c>
      <c r="J163" s="165">
        <v>1977.6</v>
      </c>
      <c r="K163" s="168">
        <v>35596.799999999996</v>
      </c>
      <c r="L163" s="71">
        <v>5</v>
      </c>
      <c r="M163" s="71"/>
      <c r="N163" s="91"/>
      <c r="O163" s="71"/>
      <c r="P163" s="71"/>
      <c r="Q163" s="71"/>
      <c r="R163" s="71"/>
      <c r="S163" s="71"/>
      <c r="T163" s="71"/>
      <c r="U163" s="71"/>
      <c r="V163" s="71"/>
      <c r="W163" s="71"/>
      <c r="X163" s="71"/>
      <c r="Y163" s="71"/>
      <c r="Z163" s="71"/>
      <c r="AA163" s="71"/>
      <c r="AB163" s="71"/>
      <c r="AC163" s="71"/>
      <c r="AD163" s="71"/>
      <c r="AE163" s="71"/>
      <c r="AF163" s="71"/>
      <c r="AG163" s="94">
        <v>10</v>
      </c>
      <c r="AH163" s="71"/>
      <c r="AI163" s="71"/>
      <c r="AJ163" s="71"/>
      <c r="AK163" s="71">
        <f t="shared" si="22"/>
        <v>15</v>
      </c>
      <c r="AL163" s="79">
        <f t="shared" si="23"/>
        <v>29664</v>
      </c>
    </row>
    <row r="164" spans="1:38">
      <c r="A164" s="163">
        <v>162</v>
      </c>
      <c r="B164" s="182" t="s">
        <v>945</v>
      </c>
      <c r="C164" s="178" t="s">
        <v>946</v>
      </c>
      <c r="D164" s="185" t="s">
        <v>1</v>
      </c>
      <c r="E164" s="164">
        <v>90</v>
      </c>
      <c r="F164" s="165">
        <v>4109</v>
      </c>
      <c r="G164" s="165">
        <v>2472</v>
      </c>
      <c r="H164" s="166">
        <v>0.25</v>
      </c>
      <c r="I164" s="167">
        <v>0.5487953273302506</v>
      </c>
      <c r="J164" s="165">
        <v>1854</v>
      </c>
      <c r="K164" s="168">
        <v>166860</v>
      </c>
      <c r="L164" s="71">
        <v>15</v>
      </c>
      <c r="M164" s="71">
        <v>4</v>
      </c>
      <c r="N164" s="91">
        <v>4</v>
      </c>
      <c r="O164" s="71"/>
      <c r="P164" s="71">
        <v>4</v>
      </c>
      <c r="Q164" s="71">
        <v>4</v>
      </c>
      <c r="R164" s="71">
        <v>4</v>
      </c>
      <c r="S164" s="71">
        <v>4</v>
      </c>
      <c r="T164" s="71">
        <v>8</v>
      </c>
      <c r="U164" s="71">
        <v>8</v>
      </c>
      <c r="V164" s="71">
        <v>8</v>
      </c>
      <c r="W164" s="71">
        <v>4</v>
      </c>
      <c r="X164" s="71">
        <v>4</v>
      </c>
      <c r="Y164" s="71">
        <v>4</v>
      </c>
      <c r="Z164" s="71">
        <v>4</v>
      </c>
      <c r="AA164" s="71">
        <v>8</v>
      </c>
      <c r="AB164" s="71">
        <v>4</v>
      </c>
      <c r="AC164" s="71"/>
      <c r="AD164" s="71">
        <v>6</v>
      </c>
      <c r="AE164" s="71">
        <v>3</v>
      </c>
      <c r="AF164" s="71">
        <v>25</v>
      </c>
      <c r="AG164" s="94"/>
      <c r="AH164" s="71"/>
      <c r="AI164" s="71">
        <v>15</v>
      </c>
      <c r="AJ164" s="71"/>
      <c r="AK164" s="71">
        <f t="shared" si="22"/>
        <v>140</v>
      </c>
      <c r="AL164" s="79">
        <f t="shared" si="23"/>
        <v>259560</v>
      </c>
    </row>
    <row r="165" spans="1:38">
      <c r="A165" s="163">
        <v>163</v>
      </c>
      <c r="B165" s="182" t="s">
        <v>947</v>
      </c>
      <c r="C165" s="177" t="s">
        <v>948</v>
      </c>
      <c r="D165" s="185" t="s">
        <v>1</v>
      </c>
      <c r="E165" s="164">
        <v>0</v>
      </c>
      <c r="F165" s="165">
        <v>0</v>
      </c>
      <c r="G165" s="165">
        <v>0</v>
      </c>
      <c r="H165" s="166">
        <v>0</v>
      </c>
      <c r="I165" s="167">
        <v>0</v>
      </c>
      <c r="J165" s="165">
        <v>0</v>
      </c>
      <c r="K165" s="168">
        <v>0</v>
      </c>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row>
    <row r="166" spans="1:38">
      <c r="A166" s="163">
        <v>164</v>
      </c>
      <c r="B166" s="182" t="s">
        <v>949</v>
      </c>
      <c r="C166" s="177" t="s">
        <v>950</v>
      </c>
      <c r="D166" s="185" t="s">
        <v>1</v>
      </c>
      <c r="E166" s="164">
        <v>0</v>
      </c>
      <c r="F166" s="165">
        <v>0</v>
      </c>
      <c r="G166" s="165">
        <v>0</v>
      </c>
      <c r="H166" s="166">
        <v>0</v>
      </c>
      <c r="I166" s="167">
        <v>0</v>
      </c>
      <c r="J166" s="165">
        <v>0</v>
      </c>
      <c r="K166" s="168">
        <v>0</v>
      </c>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row>
    <row r="167" spans="1:38">
      <c r="A167" s="163">
        <v>165</v>
      </c>
      <c r="B167" s="182" t="s">
        <v>951</v>
      </c>
      <c r="C167" s="177" t="s">
        <v>952</v>
      </c>
      <c r="D167" s="185" t="s">
        <v>953</v>
      </c>
      <c r="E167" s="164">
        <v>0</v>
      </c>
      <c r="F167" s="165">
        <v>0</v>
      </c>
      <c r="G167" s="165">
        <v>0</v>
      </c>
      <c r="H167" s="166">
        <v>0</v>
      </c>
      <c r="I167" s="167">
        <v>0</v>
      </c>
      <c r="J167" s="165">
        <v>0</v>
      </c>
      <c r="K167" s="168">
        <v>0</v>
      </c>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row>
    <row r="168" spans="1:38">
      <c r="A168" s="163">
        <v>166</v>
      </c>
      <c r="B168" s="182" t="s">
        <v>954</v>
      </c>
      <c r="C168" s="177" t="s">
        <v>955</v>
      </c>
      <c r="D168" s="185" t="s">
        <v>956</v>
      </c>
      <c r="E168" s="164">
        <v>0</v>
      </c>
      <c r="F168" s="165">
        <v>0</v>
      </c>
      <c r="G168" s="165">
        <v>0</v>
      </c>
      <c r="H168" s="166">
        <v>0</v>
      </c>
      <c r="I168" s="167">
        <v>0</v>
      </c>
      <c r="J168" s="165">
        <v>0</v>
      </c>
      <c r="K168" s="168">
        <v>0</v>
      </c>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row>
    <row r="169" spans="1:38">
      <c r="A169" s="163">
        <v>167</v>
      </c>
      <c r="B169" s="182" t="s">
        <v>957</v>
      </c>
      <c r="C169" s="177" t="s">
        <v>958</v>
      </c>
      <c r="D169" s="185" t="s">
        <v>959</v>
      </c>
      <c r="E169" s="164">
        <v>0</v>
      </c>
      <c r="F169" s="165">
        <v>0</v>
      </c>
      <c r="G169" s="165">
        <v>0</v>
      </c>
      <c r="H169" s="166">
        <v>0</v>
      </c>
      <c r="I169" s="167">
        <v>0</v>
      </c>
      <c r="J169" s="165">
        <v>0</v>
      </c>
      <c r="K169" s="168">
        <v>0</v>
      </c>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row>
    <row r="170" spans="1:38">
      <c r="A170" s="163">
        <v>168</v>
      </c>
      <c r="B170" s="182" t="s">
        <v>960</v>
      </c>
      <c r="C170" s="177" t="s">
        <v>961</v>
      </c>
      <c r="D170" s="185" t="s">
        <v>1</v>
      </c>
      <c r="E170" s="164">
        <v>24</v>
      </c>
      <c r="F170" s="165">
        <v>44461</v>
      </c>
      <c r="G170" s="165">
        <v>28360</v>
      </c>
      <c r="H170" s="166">
        <v>0.25</v>
      </c>
      <c r="I170" s="167">
        <v>0.52160320280695438</v>
      </c>
      <c r="J170" s="165">
        <v>21270</v>
      </c>
      <c r="K170" s="168">
        <v>510480</v>
      </c>
      <c r="L170" s="71">
        <v>6</v>
      </c>
      <c r="M170" s="71"/>
      <c r="N170" s="91"/>
      <c r="O170" s="71"/>
      <c r="P170" s="71">
        <v>5</v>
      </c>
      <c r="Q170" s="71"/>
      <c r="R170" s="71"/>
      <c r="S170" s="71"/>
      <c r="T170" s="71"/>
      <c r="U170" s="71"/>
      <c r="V170" s="71"/>
      <c r="W170" s="71"/>
      <c r="X170" s="71"/>
      <c r="Y170" s="71"/>
      <c r="Z170" s="71"/>
      <c r="AA170" s="71"/>
      <c r="AB170" s="71"/>
      <c r="AC170" s="71"/>
      <c r="AD170" s="71" t="s">
        <v>1401</v>
      </c>
      <c r="AE170" s="71"/>
      <c r="AF170" s="71">
        <v>1</v>
      </c>
      <c r="AG170" s="94"/>
      <c r="AH170" s="71"/>
      <c r="AI170" s="71">
        <v>1</v>
      </c>
      <c r="AJ170" s="94">
        <v>2</v>
      </c>
      <c r="AK170" s="94">
        <f>SUBTOTAL(9,L170:AJ170)</f>
        <v>15</v>
      </c>
      <c r="AL170" s="79">
        <f>+J170*AK170</f>
        <v>319050</v>
      </c>
    </row>
    <row r="171" spans="1:38">
      <c r="A171" s="163">
        <v>169</v>
      </c>
      <c r="B171" s="182" t="s">
        <v>962</v>
      </c>
      <c r="C171" s="177" t="s">
        <v>963</v>
      </c>
      <c r="D171" s="185" t="s">
        <v>1</v>
      </c>
      <c r="E171" s="164">
        <v>0</v>
      </c>
      <c r="F171" s="165">
        <v>0</v>
      </c>
      <c r="G171" s="165">
        <v>0</v>
      </c>
      <c r="H171" s="166">
        <v>0</v>
      </c>
      <c r="I171" s="167">
        <v>0</v>
      </c>
      <c r="J171" s="165">
        <v>0</v>
      </c>
      <c r="K171" s="168">
        <v>0</v>
      </c>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row>
    <row r="172" spans="1:38">
      <c r="A172" s="163">
        <v>170</v>
      </c>
      <c r="B172" s="182" t="s">
        <v>964</v>
      </c>
      <c r="C172" s="177" t="s">
        <v>965</v>
      </c>
      <c r="D172" s="185" t="s">
        <v>966</v>
      </c>
      <c r="E172" s="164">
        <v>1351</v>
      </c>
      <c r="F172" s="165">
        <v>42466</v>
      </c>
      <c r="G172" s="165">
        <v>13884</v>
      </c>
      <c r="H172" s="166">
        <v>0.25</v>
      </c>
      <c r="I172" s="167">
        <v>0.75479206894927708</v>
      </c>
      <c r="J172" s="165">
        <v>10413</v>
      </c>
      <c r="K172" s="168">
        <v>14067963</v>
      </c>
      <c r="L172" s="71">
        <v>450</v>
      </c>
      <c r="M172" s="71">
        <v>40</v>
      </c>
      <c r="N172" s="91">
        <v>40</v>
      </c>
      <c r="O172" s="71"/>
      <c r="P172" s="71">
        <v>50</v>
      </c>
      <c r="Q172" s="71">
        <v>40</v>
      </c>
      <c r="R172" s="71">
        <v>50</v>
      </c>
      <c r="S172" s="71">
        <v>30</v>
      </c>
      <c r="T172" s="71">
        <v>50</v>
      </c>
      <c r="U172" s="71">
        <v>40</v>
      </c>
      <c r="V172" s="71">
        <v>40</v>
      </c>
      <c r="W172" s="71">
        <v>10</v>
      </c>
      <c r="X172" s="71">
        <v>20</v>
      </c>
      <c r="Y172" s="71">
        <v>10</v>
      </c>
      <c r="Z172" s="71">
        <v>10</v>
      </c>
      <c r="AA172" s="71">
        <v>40</v>
      </c>
      <c r="AB172" s="71">
        <v>10</v>
      </c>
      <c r="AC172" s="71">
        <v>20</v>
      </c>
      <c r="AD172" s="71">
        <v>40</v>
      </c>
      <c r="AE172" s="71">
        <v>60</v>
      </c>
      <c r="AF172" s="71">
        <v>40</v>
      </c>
      <c r="AG172" s="94"/>
      <c r="AH172" s="71">
        <v>20</v>
      </c>
      <c r="AI172" s="71">
        <v>30</v>
      </c>
      <c r="AJ172" s="71"/>
      <c r="AK172" s="71">
        <f>SUBTOTAL(9,L172:AJ172)</f>
        <v>1140</v>
      </c>
      <c r="AL172" s="79">
        <f>+J172*AK172</f>
        <v>11870820</v>
      </c>
    </row>
    <row r="173" spans="1:38">
      <c r="A173" s="163">
        <v>171</v>
      </c>
      <c r="B173" s="182" t="s">
        <v>967</v>
      </c>
      <c r="C173" s="177" t="s">
        <v>968</v>
      </c>
      <c r="D173" s="185" t="s">
        <v>966</v>
      </c>
      <c r="E173" s="164">
        <v>0</v>
      </c>
      <c r="F173" s="165">
        <v>0</v>
      </c>
      <c r="G173" s="165">
        <v>0</v>
      </c>
      <c r="H173" s="166">
        <v>0</v>
      </c>
      <c r="I173" s="167">
        <v>0</v>
      </c>
      <c r="J173" s="165">
        <v>0</v>
      </c>
      <c r="K173" s="168">
        <v>0</v>
      </c>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row>
    <row r="174" spans="1:38">
      <c r="A174" s="163">
        <v>172</v>
      </c>
      <c r="B174" s="182" t="s">
        <v>969</v>
      </c>
      <c r="C174" s="177" t="s">
        <v>970</v>
      </c>
      <c r="D174" s="185" t="s">
        <v>971</v>
      </c>
      <c r="E174" s="164">
        <v>0</v>
      </c>
      <c r="F174" s="165">
        <v>0</v>
      </c>
      <c r="G174" s="165">
        <v>0</v>
      </c>
      <c r="H174" s="166">
        <v>0</v>
      </c>
      <c r="I174" s="167">
        <v>0</v>
      </c>
      <c r="J174" s="165">
        <v>0</v>
      </c>
      <c r="K174" s="168">
        <v>0</v>
      </c>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row>
    <row r="175" spans="1:38">
      <c r="A175" s="163">
        <v>173</v>
      </c>
      <c r="B175" s="182" t="s">
        <v>972</v>
      </c>
      <c r="C175" s="177" t="s">
        <v>973</v>
      </c>
      <c r="D175" s="185" t="s">
        <v>971</v>
      </c>
      <c r="E175" s="164">
        <v>0</v>
      </c>
      <c r="F175" s="165">
        <v>0</v>
      </c>
      <c r="G175" s="165">
        <v>0</v>
      </c>
      <c r="H175" s="166">
        <v>0</v>
      </c>
      <c r="I175" s="167">
        <v>0</v>
      </c>
      <c r="J175" s="165">
        <v>0</v>
      </c>
      <c r="K175" s="168">
        <v>0</v>
      </c>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row>
    <row r="176" spans="1:38">
      <c r="A176" s="163">
        <v>174</v>
      </c>
      <c r="B176" s="182" t="s">
        <v>974</v>
      </c>
      <c r="C176" s="177" t="s">
        <v>975</v>
      </c>
      <c r="D176" s="185" t="s">
        <v>976</v>
      </c>
      <c r="E176" s="164">
        <v>3</v>
      </c>
      <c r="F176" s="165">
        <v>19402</v>
      </c>
      <c r="G176" s="165">
        <v>10262</v>
      </c>
      <c r="H176" s="166">
        <v>0.19999999999999996</v>
      </c>
      <c r="I176" s="167">
        <v>0.5768683640861767</v>
      </c>
      <c r="J176" s="165">
        <v>8209.6</v>
      </c>
      <c r="K176" s="168">
        <v>24628.800000000003</v>
      </c>
      <c r="L176" s="71">
        <v>5</v>
      </c>
      <c r="M176" s="71"/>
      <c r="N176" s="91"/>
      <c r="O176" s="71"/>
      <c r="P176" s="71"/>
      <c r="Q176" s="71"/>
      <c r="R176" s="71"/>
      <c r="S176" s="71"/>
      <c r="T176" s="71"/>
      <c r="U176" s="71"/>
      <c r="V176" s="71"/>
      <c r="W176" s="71"/>
      <c r="X176" s="71"/>
      <c r="Y176" s="71"/>
      <c r="Z176" s="71"/>
      <c r="AA176" s="71"/>
      <c r="AB176" s="71"/>
      <c r="AC176" s="71"/>
      <c r="AD176" s="71"/>
      <c r="AE176" s="71"/>
      <c r="AF176" s="71"/>
      <c r="AG176" s="94"/>
      <c r="AH176" s="71"/>
      <c r="AI176" s="71"/>
      <c r="AJ176" s="71"/>
      <c r="AK176" s="71">
        <f t="shared" ref="AK176:AK177" si="24">SUBTOTAL(9,L176:AJ176)</f>
        <v>5</v>
      </c>
      <c r="AL176" s="79">
        <f t="shared" ref="AL176:AL177" si="25">+J176*AK176</f>
        <v>41048</v>
      </c>
    </row>
    <row r="177" spans="1:38">
      <c r="A177" s="163">
        <v>175</v>
      </c>
      <c r="B177" s="182" t="s">
        <v>977</v>
      </c>
      <c r="C177" s="177" t="s">
        <v>978</v>
      </c>
      <c r="D177" s="185" t="s">
        <v>979</v>
      </c>
      <c r="E177" s="164">
        <v>795</v>
      </c>
      <c r="F177" s="165">
        <v>11895</v>
      </c>
      <c r="G177" s="165">
        <v>6816</v>
      </c>
      <c r="H177" s="166">
        <v>0.25</v>
      </c>
      <c r="I177" s="167">
        <v>0.57023959646910471</v>
      </c>
      <c r="J177" s="165">
        <v>5112</v>
      </c>
      <c r="K177" s="168">
        <v>4064040</v>
      </c>
      <c r="L177" s="71">
        <v>80</v>
      </c>
      <c r="M177" s="71">
        <v>30</v>
      </c>
      <c r="N177" s="91">
        <v>30</v>
      </c>
      <c r="O177" s="71"/>
      <c r="P177" s="71">
        <v>60</v>
      </c>
      <c r="Q177" s="71">
        <v>60</v>
      </c>
      <c r="R177" s="71">
        <v>60</v>
      </c>
      <c r="S177" s="71">
        <v>20</v>
      </c>
      <c r="T177" s="71">
        <v>60</v>
      </c>
      <c r="U177" s="71">
        <v>60</v>
      </c>
      <c r="V177" s="71">
        <v>60</v>
      </c>
      <c r="W177" s="71">
        <v>20</v>
      </c>
      <c r="X177" s="71">
        <v>30</v>
      </c>
      <c r="Y177" s="71">
        <v>10</v>
      </c>
      <c r="Z177" s="71">
        <v>10</v>
      </c>
      <c r="AA177" s="71">
        <v>60</v>
      </c>
      <c r="AB177" s="71">
        <v>10</v>
      </c>
      <c r="AC177" s="71">
        <v>20</v>
      </c>
      <c r="AD177" s="71">
        <v>45</v>
      </c>
      <c r="AE177" s="71">
        <v>10</v>
      </c>
      <c r="AF177" s="71">
        <v>30</v>
      </c>
      <c r="AG177" s="94"/>
      <c r="AH177" s="71">
        <v>20</v>
      </c>
      <c r="AI177" s="71">
        <v>30</v>
      </c>
      <c r="AJ177" s="94">
        <v>5</v>
      </c>
      <c r="AK177" s="94">
        <f t="shared" si="24"/>
        <v>820</v>
      </c>
      <c r="AL177" s="79">
        <f t="shared" si="25"/>
        <v>4191840</v>
      </c>
    </row>
    <row r="178" spans="1:38">
      <c r="A178" s="163">
        <v>176</v>
      </c>
      <c r="B178" s="182" t="s">
        <v>980</v>
      </c>
      <c r="C178" s="177" t="s">
        <v>981</v>
      </c>
      <c r="D178" s="185" t="s">
        <v>982</v>
      </c>
      <c r="E178" s="164">
        <v>0</v>
      </c>
      <c r="F178" s="165">
        <v>0</v>
      </c>
      <c r="G178" s="165">
        <v>0</v>
      </c>
      <c r="H178" s="166">
        <v>0</v>
      </c>
      <c r="I178" s="167">
        <v>0</v>
      </c>
      <c r="J178" s="165">
        <v>0</v>
      </c>
      <c r="K178" s="168">
        <v>0</v>
      </c>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row>
    <row r="179" spans="1:38">
      <c r="A179" s="163">
        <v>177</v>
      </c>
      <c r="B179" s="182" t="s">
        <v>983</v>
      </c>
      <c r="C179" s="177" t="s">
        <v>978</v>
      </c>
      <c r="D179" s="185" t="s">
        <v>966</v>
      </c>
      <c r="E179" s="164">
        <v>25</v>
      </c>
      <c r="F179" s="165">
        <v>5021</v>
      </c>
      <c r="G179" s="165">
        <v>2283</v>
      </c>
      <c r="H179" s="166">
        <v>0.19999999999999996</v>
      </c>
      <c r="I179" s="167">
        <v>0.63624775941047607</v>
      </c>
      <c r="J179" s="165">
        <v>1826.4</v>
      </c>
      <c r="K179" s="168">
        <v>45660</v>
      </c>
      <c r="L179" s="71">
        <v>30</v>
      </c>
      <c r="M179" s="71"/>
      <c r="N179" s="91"/>
      <c r="O179" s="71"/>
      <c r="P179" s="71"/>
      <c r="Q179" s="71"/>
      <c r="R179" s="71"/>
      <c r="S179" s="71"/>
      <c r="T179" s="71"/>
      <c r="U179" s="71"/>
      <c r="V179" s="71"/>
      <c r="W179" s="71"/>
      <c r="X179" s="71"/>
      <c r="Y179" s="71"/>
      <c r="Z179" s="71"/>
      <c r="AA179" s="71"/>
      <c r="AB179" s="71"/>
      <c r="AC179" s="71"/>
      <c r="AD179" s="71"/>
      <c r="AE179" s="71"/>
      <c r="AF179" s="71"/>
      <c r="AG179" s="94"/>
      <c r="AH179" s="71"/>
      <c r="AI179" s="71"/>
      <c r="AJ179" s="71"/>
      <c r="AK179" s="71">
        <f>SUBTOTAL(9,L179:AJ179)</f>
        <v>30</v>
      </c>
      <c r="AL179" s="79">
        <f>+J179*AK179</f>
        <v>54792</v>
      </c>
    </row>
    <row r="180" spans="1:38">
      <c r="A180" s="163">
        <v>178</v>
      </c>
      <c r="B180" s="182" t="s">
        <v>984</v>
      </c>
      <c r="C180" s="177" t="s">
        <v>985</v>
      </c>
      <c r="D180" s="185" t="s">
        <v>966</v>
      </c>
      <c r="E180" s="164">
        <v>0</v>
      </c>
      <c r="F180" s="165">
        <v>0</v>
      </c>
      <c r="G180" s="165">
        <v>0</v>
      </c>
      <c r="H180" s="166">
        <v>0</v>
      </c>
      <c r="I180" s="167">
        <v>0</v>
      </c>
      <c r="J180" s="165">
        <v>0</v>
      </c>
      <c r="K180" s="168">
        <v>0</v>
      </c>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row>
    <row r="181" spans="1:38">
      <c r="A181" s="163">
        <v>179</v>
      </c>
      <c r="B181" s="182" t="s">
        <v>986</v>
      </c>
      <c r="C181" s="177" t="s">
        <v>987</v>
      </c>
      <c r="D181" s="185" t="s">
        <v>988</v>
      </c>
      <c r="E181" s="164">
        <v>0</v>
      </c>
      <c r="F181" s="165">
        <v>0</v>
      </c>
      <c r="G181" s="165">
        <v>0</v>
      </c>
      <c r="H181" s="166">
        <v>0</v>
      </c>
      <c r="I181" s="167">
        <v>0</v>
      </c>
      <c r="J181" s="165">
        <v>0</v>
      </c>
      <c r="K181" s="168">
        <v>0</v>
      </c>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row>
    <row r="182" spans="1:38">
      <c r="A182" s="163">
        <v>180</v>
      </c>
      <c r="B182" s="182" t="s">
        <v>989</v>
      </c>
      <c r="C182" s="177" t="s">
        <v>990</v>
      </c>
      <c r="D182" s="185" t="s">
        <v>991</v>
      </c>
      <c r="E182" s="164">
        <v>0</v>
      </c>
      <c r="F182" s="165">
        <v>0</v>
      </c>
      <c r="G182" s="165">
        <v>0</v>
      </c>
      <c r="H182" s="166">
        <v>0</v>
      </c>
      <c r="I182" s="167">
        <v>0</v>
      </c>
      <c r="J182" s="165">
        <v>0</v>
      </c>
      <c r="K182" s="168">
        <v>0</v>
      </c>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row>
    <row r="183" spans="1:38">
      <c r="A183" s="163">
        <v>181</v>
      </c>
      <c r="B183" s="182" t="s">
        <v>992</v>
      </c>
      <c r="C183" s="177" t="s">
        <v>993</v>
      </c>
      <c r="D183" s="185" t="s">
        <v>994</v>
      </c>
      <c r="E183" s="164">
        <v>0</v>
      </c>
      <c r="F183" s="165">
        <v>0</v>
      </c>
      <c r="G183" s="165">
        <v>0</v>
      </c>
      <c r="H183" s="166">
        <v>0</v>
      </c>
      <c r="I183" s="167">
        <v>0</v>
      </c>
      <c r="J183" s="165">
        <v>0</v>
      </c>
      <c r="K183" s="168">
        <v>0</v>
      </c>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row>
    <row r="184" spans="1:38">
      <c r="A184" s="163">
        <v>182</v>
      </c>
      <c r="B184" s="182" t="s">
        <v>995</v>
      </c>
      <c r="C184" s="177" t="s">
        <v>993</v>
      </c>
      <c r="D184" s="185" t="s">
        <v>996</v>
      </c>
      <c r="E184" s="164">
        <v>0</v>
      </c>
      <c r="F184" s="165">
        <v>0</v>
      </c>
      <c r="G184" s="165">
        <v>0</v>
      </c>
      <c r="H184" s="166">
        <v>0</v>
      </c>
      <c r="I184" s="167">
        <v>0</v>
      </c>
      <c r="J184" s="165">
        <v>0</v>
      </c>
      <c r="K184" s="168">
        <v>0</v>
      </c>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row>
    <row r="185" spans="1:38">
      <c r="A185" s="163">
        <v>183</v>
      </c>
      <c r="B185" s="182" t="s">
        <v>997</v>
      </c>
      <c r="C185" s="177" t="s">
        <v>993</v>
      </c>
      <c r="D185" s="185" t="s">
        <v>998</v>
      </c>
      <c r="E185" s="164">
        <v>0</v>
      </c>
      <c r="F185" s="165">
        <v>0</v>
      </c>
      <c r="G185" s="165">
        <v>0</v>
      </c>
      <c r="H185" s="166">
        <v>0</v>
      </c>
      <c r="I185" s="167">
        <v>0</v>
      </c>
      <c r="J185" s="165">
        <v>0</v>
      </c>
      <c r="K185" s="168">
        <v>0</v>
      </c>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row>
    <row r="186" spans="1:38">
      <c r="A186" s="163">
        <v>184</v>
      </c>
      <c r="B186" s="182" t="s">
        <v>999</v>
      </c>
      <c r="C186" s="177" t="s">
        <v>1000</v>
      </c>
      <c r="D186" s="185" t="s">
        <v>1001</v>
      </c>
      <c r="E186" s="164">
        <v>1509</v>
      </c>
      <c r="F186" s="165">
        <v>2106</v>
      </c>
      <c r="G186" s="165">
        <v>1421</v>
      </c>
      <c r="H186" s="166">
        <v>0.25</v>
      </c>
      <c r="I186" s="167">
        <v>0.49394586894586889</v>
      </c>
      <c r="J186" s="165">
        <v>1065.75</v>
      </c>
      <c r="K186" s="168">
        <v>1608216.75</v>
      </c>
      <c r="L186" s="71">
        <v>700</v>
      </c>
      <c r="M186" s="71">
        <v>40</v>
      </c>
      <c r="N186" s="91">
        <v>25</v>
      </c>
      <c r="O186" s="71"/>
      <c r="P186" s="71">
        <v>50</v>
      </c>
      <c r="Q186" s="71">
        <v>30</v>
      </c>
      <c r="R186" s="71">
        <v>50</v>
      </c>
      <c r="S186" s="71">
        <v>30</v>
      </c>
      <c r="T186" s="71">
        <v>50</v>
      </c>
      <c r="U186" s="71">
        <v>30</v>
      </c>
      <c r="V186" s="71">
        <v>40</v>
      </c>
      <c r="W186" s="71">
        <v>10</v>
      </c>
      <c r="X186" s="71">
        <v>10</v>
      </c>
      <c r="Y186" s="71">
        <v>8</v>
      </c>
      <c r="Z186" s="71">
        <v>10</v>
      </c>
      <c r="AA186" s="71">
        <v>30</v>
      </c>
      <c r="AB186" s="71">
        <v>20</v>
      </c>
      <c r="AC186" s="71">
        <v>40</v>
      </c>
      <c r="AD186" s="71">
        <v>26</v>
      </c>
      <c r="AE186" s="71">
        <v>60</v>
      </c>
      <c r="AF186" s="71">
        <v>30</v>
      </c>
      <c r="AG186" s="94"/>
      <c r="AH186" s="77">
        <v>20</v>
      </c>
      <c r="AI186" s="71">
        <v>15</v>
      </c>
      <c r="AJ186" s="94">
        <v>20</v>
      </c>
      <c r="AK186" s="94">
        <f>SUBTOTAL(9,L186:AJ186)</f>
        <v>1344</v>
      </c>
      <c r="AL186" s="79">
        <f>+J186*AK186</f>
        <v>1432368</v>
      </c>
    </row>
    <row r="187" spans="1:38">
      <c r="A187" s="163">
        <v>185</v>
      </c>
      <c r="B187" s="182" t="s">
        <v>1002</v>
      </c>
      <c r="C187" s="177" t="s">
        <v>1003</v>
      </c>
      <c r="D187" s="185" t="s">
        <v>1001</v>
      </c>
      <c r="E187" s="164">
        <v>0</v>
      </c>
      <c r="F187" s="165">
        <v>0</v>
      </c>
      <c r="G187" s="165">
        <v>0</v>
      </c>
      <c r="H187" s="166">
        <v>0</v>
      </c>
      <c r="I187" s="167">
        <v>0</v>
      </c>
      <c r="J187" s="165">
        <v>0</v>
      </c>
      <c r="K187" s="168">
        <v>0</v>
      </c>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row>
    <row r="188" spans="1:38">
      <c r="A188" s="163">
        <v>186</v>
      </c>
      <c r="B188" s="182" t="s">
        <v>1004</v>
      </c>
      <c r="C188" s="177" t="s">
        <v>1005</v>
      </c>
      <c r="D188" s="185" t="s">
        <v>1006</v>
      </c>
      <c r="E188" s="164">
        <v>0</v>
      </c>
      <c r="F188" s="165">
        <v>0</v>
      </c>
      <c r="G188" s="165">
        <v>0</v>
      </c>
      <c r="H188" s="166">
        <v>0</v>
      </c>
      <c r="I188" s="167">
        <v>0</v>
      </c>
      <c r="J188" s="165">
        <v>0</v>
      </c>
      <c r="K188" s="168">
        <v>0</v>
      </c>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row>
    <row r="189" spans="1:38">
      <c r="A189" s="163">
        <v>187</v>
      </c>
      <c r="B189" s="182" t="s">
        <v>1007</v>
      </c>
      <c r="C189" s="177" t="s">
        <v>1008</v>
      </c>
      <c r="D189" s="185" t="s">
        <v>1009</v>
      </c>
      <c r="E189" s="164">
        <v>0</v>
      </c>
      <c r="F189" s="165">
        <v>0</v>
      </c>
      <c r="G189" s="165">
        <v>0</v>
      </c>
      <c r="H189" s="166">
        <v>0</v>
      </c>
      <c r="I189" s="167">
        <v>0</v>
      </c>
      <c r="J189" s="165">
        <v>0</v>
      </c>
      <c r="K189" s="168">
        <v>0</v>
      </c>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row>
    <row r="190" spans="1:38">
      <c r="A190" s="163">
        <v>188</v>
      </c>
      <c r="B190" s="182" t="s">
        <v>1010</v>
      </c>
      <c r="C190" s="177" t="s">
        <v>1000</v>
      </c>
      <c r="D190" s="185" t="s">
        <v>1011</v>
      </c>
      <c r="E190" s="164">
        <v>36</v>
      </c>
      <c r="F190" s="165">
        <v>9779</v>
      </c>
      <c r="G190" s="165">
        <v>4203</v>
      </c>
      <c r="H190" s="166">
        <v>0.19999999999999998</v>
      </c>
      <c r="I190" s="167">
        <v>0.65616116167297267</v>
      </c>
      <c r="J190" s="165">
        <v>3362.4</v>
      </c>
      <c r="K190" s="168">
        <v>121046.40000000001</v>
      </c>
      <c r="L190" s="71">
        <v>5</v>
      </c>
      <c r="M190" s="71"/>
      <c r="N190" s="91"/>
      <c r="O190" s="71"/>
      <c r="P190" s="71"/>
      <c r="Q190" s="71"/>
      <c r="R190" s="71"/>
      <c r="S190" s="71"/>
      <c r="T190" s="71"/>
      <c r="U190" s="71"/>
      <c r="V190" s="71"/>
      <c r="W190" s="71"/>
      <c r="X190" s="71"/>
      <c r="Y190" s="71"/>
      <c r="Z190" s="71"/>
      <c r="AA190" s="71"/>
      <c r="AB190" s="71"/>
      <c r="AC190" s="71"/>
      <c r="AD190" s="71"/>
      <c r="AE190" s="71"/>
      <c r="AF190" s="71"/>
      <c r="AG190" s="94"/>
      <c r="AH190" s="71"/>
      <c r="AI190" s="71"/>
      <c r="AJ190" s="71"/>
      <c r="AK190" s="71">
        <f t="shared" ref="AK190:AK191" si="26">SUBTOTAL(9,L190:AJ190)</f>
        <v>5</v>
      </c>
      <c r="AL190" s="79">
        <f t="shared" ref="AL190:AL191" si="27">+J190*AK190</f>
        <v>16812</v>
      </c>
    </row>
    <row r="191" spans="1:38">
      <c r="A191" s="163">
        <v>189</v>
      </c>
      <c r="B191" s="182" t="s">
        <v>1012</v>
      </c>
      <c r="C191" s="177" t="s">
        <v>1013</v>
      </c>
      <c r="D191" s="185" t="s">
        <v>1011</v>
      </c>
      <c r="E191" s="164">
        <v>782</v>
      </c>
      <c r="F191" s="165">
        <v>10813</v>
      </c>
      <c r="G191" s="165">
        <v>2019</v>
      </c>
      <c r="H191" s="166">
        <v>0.25</v>
      </c>
      <c r="I191" s="167">
        <v>0.85996023305280678</v>
      </c>
      <c r="J191" s="165">
        <v>1514.25</v>
      </c>
      <c r="K191" s="168">
        <v>1184143.5</v>
      </c>
      <c r="L191" s="77">
        <v>400</v>
      </c>
      <c r="M191" s="77">
        <v>40</v>
      </c>
      <c r="N191" s="198">
        <v>25</v>
      </c>
      <c r="O191" s="71"/>
      <c r="P191" s="77">
        <v>40</v>
      </c>
      <c r="Q191" s="77">
        <v>30</v>
      </c>
      <c r="R191" s="71">
        <v>50</v>
      </c>
      <c r="S191" s="71">
        <v>20</v>
      </c>
      <c r="T191" s="77">
        <v>40</v>
      </c>
      <c r="U191" s="77">
        <v>20</v>
      </c>
      <c r="V191" s="77">
        <v>40</v>
      </c>
      <c r="W191" s="71"/>
      <c r="X191" s="71">
        <v>10</v>
      </c>
      <c r="Y191" s="77">
        <v>10</v>
      </c>
      <c r="Z191" s="77">
        <v>10</v>
      </c>
      <c r="AA191" s="94">
        <v>30</v>
      </c>
      <c r="AB191" s="71">
        <v>10</v>
      </c>
      <c r="AC191" s="94">
        <v>10</v>
      </c>
      <c r="AD191" s="71">
        <v>15</v>
      </c>
      <c r="AE191" s="94">
        <v>40</v>
      </c>
      <c r="AF191" s="94">
        <v>15</v>
      </c>
      <c r="AG191" s="94"/>
      <c r="AH191" s="77">
        <v>20</v>
      </c>
      <c r="AI191" s="94">
        <v>15</v>
      </c>
      <c r="AJ191" s="71"/>
      <c r="AK191" s="94">
        <f t="shared" si="26"/>
        <v>890</v>
      </c>
      <c r="AL191" s="79">
        <f t="shared" si="27"/>
        <v>1347682.5</v>
      </c>
    </row>
    <row r="192" spans="1:38">
      <c r="A192" s="163">
        <v>190</v>
      </c>
      <c r="B192" s="182" t="s">
        <v>1014</v>
      </c>
      <c r="C192" s="177" t="s">
        <v>1015</v>
      </c>
      <c r="D192" s="185" t="s">
        <v>1016</v>
      </c>
      <c r="E192" s="164">
        <v>0</v>
      </c>
      <c r="F192" s="165">
        <v>0</v>
      </c>
      <c r="G192" s="165">
        <v>0</v>
      </c>
      <c r="H192" s="166">
        <v>0</v>
      </c>
      <c r="I192" s="167">
        <v>0</v>
      </c>
      <c r="J192" s="165">
        <v>0</v>
      </c>
      <c r="K192" s="168">
        <v>0</v>
      </c>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row>
    <row r="193" spans="1:38">
      <c r="A193" s="163">
        <v>191</v>
      </c>
      <c r="B193" s="182" t="s">
        <v>1017</v>
      </c>
      <c r="C193" s="177" t="s">
        <v>1018</v>
      </c>
      <c r="D193" s="185" t="s">
        <v>1019</v>
      </c>
      <c r="E193" s="164">
        <v>0</v>
      </c>
      <c r="F193" s="165">
        <v>0</v>
      </c>
      <c r="G193" s="165">
        <v>0</v>
      </c>
      <c r="H193" s="166">
        <v>0</v>
      </c>
      <c r="I193" s="167">
        <v>0</v>
      </c>
      <c r="J193" s="165">
        <v>0</v>
      </c>
      <c r="K193" s="168">
        <v>0</v>
      </c>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row>
    <row r="194" spans="1:38">
      <c r="A194" s="163">
        <v>192</v>
      </c>
      <c r="B194" s="182" t="s">
        <v>1020</v>
      </c>
      <c r="C194" s="177" t="s">
        <v>1021</v>
      </c>
      <c r="D194" s="185" t="s">
        <v>1019</v>
      </c>
      <c r="E194" s="164">
        <v>0</v>
      </c>
      <c r="F194" s="165">
        <v>0</v>
      </c>
      <c r="G194" s="165">
        <v>0</v>
      </c>
      <c r="H194" s="166">
        <v>0</v>
      </c>
      <c r="I194" s="167">
        <v>0</v>
      </c>
      <c r="J194" s="165">
        <v>0</v>
      </c>
      <c r="K194" s="168">
        <v>0</v>
      </c>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row>
    <row r="195" spans="1:38">
      <c r="A195" s="163">
        <v>193</v>
      </c>
      <c r="B195" s="182" t="s">
        <v>1022</v>
      </c>
      <c r="C195" s="177" t="s">
        <v>1023</v>
      </c>
      <c r="D195" s="185" t="s">
        <v>1024</v>
      </c>
      <c r="E195" s="164">
        <v>210</v>
      </c>
      <c r="F195" s="165">
        <v>20916</v>
      </c>
      <c r="G195" s="165">
        <v>10384</v>
      </c>
      <c r="H195" s="166">
        <v>0.25</v>
      </c>
      <c r="I195" s="167">
        <v>0.627653471026965</v>
      </c>
      <c r="J195" s="165">
        <v>7788</v>
      </c>
      <c r="K195" s="168">
        <v>1635480</v>
      </c>
      <c r="L195" s="71">
        <v>20</v>
      </c>
      <c r="M195" s="77">
        <v>10</v>
      </c>
      <c r="N195" s="198">
        <v>10</v>
      </c>
      <c r="O195" s="71"/>
      <c r="P195" s="71">
        <v>10</v>
      </c>
      <c r="Q195" s="77">
        <v>10</v>
      </c>
      <c r="R195" s="71">
        <v>10</v>
      </c>
      <c r="S195" s="71">
        <v>10</v>
      </c>
      <c r="T195" s="77">
        <v>10</v>
      </c>
      <c r="U195" s="77">
        <v>10</v>
      </c>
      <c r="V195" s="77">
        <v>10</v>
      </c>
      <c r="W195" s="71">
        <v>10</v>
      </c>
      <c r="X195" s="71">
        <v>8</v>
      </c>
      <c r="Y195" s="77">
        <v>6</v>
      </c>
      <c r="Z195" s="77">
        <v>6</v>
      </c>
      <c r="AA195" s="71">
        <v>10</v>
      </c>
      <c r="AB195" s="71">
        <v>6</v>
      </c>
      <c r="AC195" s="71">
        <v>8</v>
      </c>
      <c r="AD195" s="71">
        <v>15</v>
      </c>
      <c r="AE195" s="71">
        <v>10</v>
      </c>
      <c r="AF195" s="71"/>
      <c r="AG195" s="94">
        <v>6</v>
      </c>
      <c r="AH195" s="77">
        <v>4</v>
      </c>
      <c r="AI195" s="94">
        <v>4</v>
      </c>
      <c r="AJ195" s="94">
        <v>10</v>
      </c>
      <c r="AK195" s="94">
        <f>SUBTOTAL(9,L195:AJ195)</f>
        <v>213</v>
      </c>
      <c r="AL195" s="79">
        <f>+J195*AK195</f>
        <v>1658844</v>
      </c>
    </row>
    <row r="196" spans="1:38">
      <c r="A196" s="163">
        <v>194</v>
      </c>
      <c r="B196" s="182" t="s">
        <v>1025</v>
      </c>
      <c r="C196" s="177" t="s">
        <v>1026</v>
      </c>
      <c r="D196" s="185" t="s">
        <v>1</v>
      </c>
      <c r="E196" s="164">
        <v>0</v>
      </c>
      <c r="F196" s="165">
        <v>0</v>
      </c>
      <c r="G196" s="165">
        <v>0</v>
      </c>
      <c r="H196" s="166">
        <v>0</v>
      </c>
      <c r="I196" s="167">
        <v>0</v>
      </c>
      <c r="J196" s="165">
        <v>0</v>
      </c>
      <c r="K196" s="168">
        <v>0</v>
      </c>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row>
    <row r="197" spans="1:38">
      <c r="A197" s="163">
        <v>195</v>
      </c>
      <c r="B197" s="182" t="s">
        <v>1027</v>
      </c>
      <c r="C197" s="177" t="s">
        <v>1028</v>
      </c>
      <c r="D197" s="185" t="s">
        <v>1</v>
      </c>
      <c r="E197" s="164">
        <v>0</v>
      </c>
      <c r="F197" s="165">
        <v>0</v>
      </c>
      <c r="G197" s="165">
        <v>0</v>
      </c>
      <c r="H197" s="166">
        <v>0</v>
      </c>
      <c r="I197" s="167">
        <v>0</v>
      </c>
      <c r="J197" s="165">
        <v>0</v>
      </c>
      <c r="K197" s="168">
        <v>0</v>
      </c>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row>
    <row r="198" spans="1:38">
      <c r="A198" s="163">
        <v>196</v>
      </c>
      <c r="B198" s="182" t="s">
        <v>1029</v>
      </c>
      <c r="C198" s="177" t="s">
        <v>1030</v>
      </c>
      <c r="D198" s="185" t="s">
        <v>1</v>
      </c>
      <c r="E198" s="164">
        <v>0</v>
      </c>
      <c r="F198" s="165">
        <v>0</v>
      </c>
      <c r="G198" s="165">
        <v>0</v>
      </c>
      <c r="H198" s="166">
        <v>0</v>
      </c>
      <c r="I198" s="167">
        <v>0</v>
      </c>
      <c r="J198" s="165">
        <v>0</v>
      </c>
      <c r="K198" s="168">
        <v>0</v>
      </c>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row>
    <row r="199" spans="1:38">
      <c r="A199" s="163">
        <v>197</v>
      </c>
      <c r="B199" s="182" t="s">
        <v>1031</v>
      </c>
      <c r="C199" s="177" t="s">
        <v>1032</v>
      </c>
      <c r="D199" s="185" t="s">
        <v>1</v>
      </c>
      <c r="E199" s="164">
        <v>12</v>
      </c>
      <c r="F199" s="165">
        <v>86605</v>
      </c>
      <c r="G199" s="165">
        <v>41930</v>
      </c>
      <c r="H199" s="166">
        <v>0.25</v>
      </c>
      <c r="I199" s="167">
        <v>0.63688586109347034</v>
      </c>
      <c r="J199" s="165">
        <v>31447.5</v>
      </c>
      <c r="K199" s="168">
        <v>377370</v>
      </c>
      <c r="L199" s="71"/>
      <c r="M199" s="71"/>
      <c r="N199" s="91"/>
      <c r="O199" s="71"/>
      <c r="P199" s="71"/>
      <c r="Q199" s="71"/>
      <c r="R199" s="71"/>
      <c r="S199" s="71"/>
      <c r="T199" s="71"/>
      <c r="U199" s="71"/>
      <c r="V199" s="71"/>
      <c r="W199" s="71"/>
      <c r="X199" s="71"/>
      <c r="Y199" s="71"/>
      <c r="Z199" s="71"/>
      <c r="AA199" s="71"/>
      <c r="AB199" s="71"/>
      <c r="AC199" s="71"/>
      <c r="AD199" s="71"/>
      <c r="AE199" s="71"/>
      <c r="AF199" s="71"/>
      <c r="AG199" s="94"/>
      <c r="AH199" s="71"/>
      <c r="AI199" s="71"/>
      <c r="AJ199" s="71"/>
      <c r="AK199" s="71">
        <f t="shared" ref="AK199:AK203" si="28">SUBTOTAL(9,L199:AJ199)</f>
        <v>0</v>
      </c>
      <c r="AL199" s="79">
        <f t="shared" ref="AL199:AL203" si="29">+J199*AK199</f>
        <v>0</v>
      </c>
    </row>
    <row r="200" spans="1:38">
      <c r="A200" s="163">
        <v>198</v>
      </c>
      <c r="B200" s="182" t="s">
        <v>1033</v>
      </c>
      <c r="C200" s="177" t="s">
        <v>1034</v>
      </c>
      <c r="D200" s="185" t="s">
        <v>1</v>
      </c>
      <c r="E200" s="164">
        <v>8</v>
      </c>
      <c r="F200" s="165">
        <v>59315</v>
      </c>
      <c r="G200" s="165">
        <v>35712</v>
      </c>
      <c r="H200" s="166">
        <v>0.25</v>
      </c>
      <c r="I200" s="167">
        <v>0.5484447441625222</v>
      </c>
      <c r="J200" s="165">
        <v>26784</v>
      </c>
      <c r="K200" s="168">
        <v>214272</v>
      </c>
      <c r="L200" s="71"/>
      <c r="M200" s="71"/>
      <c r="N200" s="91"/>
      <c r="O200" s="71"/>
      <c r="P200" s="71"/>
      <c r="Q200" s="71"/>
      <c r="R200" s="71"/>
      <c r="S200" s="71"/>
      <c r="T200" s="71"/>
      <c r="U200" s="71"/>
      <c r="V200" s="71"/>
      <c r="W200" s="71"/>
      <c r="X200" s="71"/>
      <c r="Y200" s="71"/>
      <c r="Z200" s="71"/>
      <c r="AA200" s="71"/>
      <c r="AB200" s="71"/>
      <c r="AC200" s="71"/>
      <c r="AD200" s="71"/>
      <c r="AE200" s="71"/>
      <c r="AF200" s="71"/>
      <c r="AG200" s="94"/>
      <c r="AH200" s="71"/>
      <c r="AI200" s="71"/>
      <c r="AJ200" s="71"/>
      <c r="AK200" s="71">
        <f t="shared" si="28"/>
        <v>0</v>
      </c>
      <c r="AL200" s="79">
        <f t="shared" si="29"/>
        <v>0</v>
      </c>
    </row>
    <row r="201" spans="1:38">
      <c r="A201" s="163">
        <v>199</v>
      </c>
      <c r="B201" s="182" t="s">
        <v>1035</v>
      </c>
      <c r="C201" s="177" t="s">
        <v>1036</v>
      </c>
      <c r="D201" s="185" t="s">
        <v>1</v>
      </c>
      <c r="E201" s="164">
        <v>19</v>
      </c>
      <c r="F201" s="165">
        <v>45621</v>
      </c>
      <c r="G201" s="165">
        <v>18695</v>
      </c>
      <c r="H201" s="166">
        <v>0.25</v>
      </c>
      <c r="I201" s="167">
        <v>0.69265798645360688</v>
      </c>
      <c r="J201" s="165">
        <v>14021.25</v>
      </c>
      <c r="K201" s="168">
        <v>266403.75</v>
      </c>
      <c r="L201" s="71"/>
      <c r="M201" s="71"/>
      <c r="N201" s="91"/>
      <c r="O201" s="71"/>
      <c r="P201" s="71"/>
      <c r="Q201" s="71"/>
      <c r="R201" s="71"/>
      <c r="S201" s="71"/>
      <c r="T201" s="71"/>
      <c r="U201" s="71"/>
      <c r="V201" s="71"/>
      <c r="W201" s="71"/>
      <c r="X201" s="71"/>
      <c r="Y201" s="71"/>
      <c r="Z201" s="71"/>
      <c r="AA201" s="71"/>
      <c r="AB201" s="71"/>
      <c r="AC201" s="71"/>
      <c r="AD201" s="71"/>
      <c r="AE201" s="71"/>
      <c r="AF201" s="71"/>
      <c r="AG201" s="94"/>
      <c r="AH201" s="71"/>
      <c r="AI201" s="71"/>
      <c r="AJ201" s="71"/>
      <c r="AK201" s="71">
        <f t="shared" si="28"/>
        <v>0</v>
      </c>
      <c r="AL201" s="79">
        <f t="shared" si="29"/>
        <v>0</v>
      </c>
    </row>
    <row r="202" spans="1:38">
      <c r="A202" s="163">
        <v>200</v>
      </c>
      <c r="B202" s="182" t="s">
        <v>1037</v>
      </c>
      <c r="C202" s="177" t="s">
        <v>1038</v>
      </c>
      <c r="D202" s="185" t="s">
        <v>1</v>
      </c>
      <c r="E202" s="164">
        <v>9</v>
      </c>
      <c r="F202" s="165">
        <v>32761</v>
      </c>
      <c r="G202" s="165">
        <v>16747</v>
      </c>
      <c r="H202" s="166">
        <v>0.19999999999999998</v>
      </c>
      <c r="I202" s="167">
        <v>0.59105033423888154</v>
      </c>
      <c r="J202" s="165">
        <v>13397.6</v>
      </c>
      <c r="K202" s="168">
        <v>120578.40000000001</v>
      </c>
      <c r="L202" s="71"/>
      <c r="M202" s="71"/>
      <c r="N202" s="91"/>
      <c r="O202" s="71"/>
      <c r="P202" s="71"/>
      <c r="Q202" s="71"/>
      <c r="R202" s="71"/>
      <c r="S202" s="71"/>
      <c r="T202" s="71"/>
      <c r="U202" s="71"/>
      <c r="V202" s="71"/>
      <c r="W202" s="71"/>
      <c r="X202" s="71"/>
      <c r="Y202" s="71"/>
      <c r="Z202" s="71"/>
      <c r="AA202" s="71"/>
      <c r="AB202" s="71"/>
      <c r="AC202" s="71"/>
      <c r="AD202" s="71"/>
      <c r="AE202" s="71"/>
      <c r="AF202" s="71"/>
      <c r="AG202" s="94"/>
      <c r="AH202" s="71"/>
      <c r="AI202" s="71"/>
      <c r="AJ202" s="71"/>
      <c r="AK202" s="71">
        <f t="shared" si="28"/>
        <v>0</v>
      </c>
      <c r="AL202" s="79">
        <f t="shared" si="29"/>
        <v>0</v>
      </c>
    </row>
    <row r="203" spans="1:38">
      <c r="A203" s="163">
        <v>201</v>
      </c>
      <c r="B203" s="182" t="s">
        <v>1039</v>
      </c>
      <c r="C203" s="177" t="s">
        <v>1040</v>
      </c>
      <c r="D203" s="185" t="s">
        <v>1</v>
      </c>
      <c r="E203" s="164">
        <v>56</v>
      </c>
      <c r="F203" s="165">
        <v>3502</v>
      </c>
      <c r="G203" s="165">
        <v>2293</v>
      </c>
      <c r="H203" s="166">
        <v>0.19999999999999996</v>
      </c>
      <c r="I203" s="167">
        <v>0.47618503712164473</v>
      </c>
      <c r="J203" s="165">
        <v>1834.4</v>
      </c>
      <c r="K203" s="168">
        <v>102726.40000000001</v>
      </c>
      <c r="L203" s="71"/>
      <c r="M203" s="71"/>
      <c r="N203" s="91"/>
      <c r="O203" s="71"/>
      <c r="P203" s="71"/>
      <c r="Q203" s="71"/>
      <c r="R203" s="71"/>
      <c r="S203" s="71"/>
      <c r="T203" s="71"/>
      <c r="U203" s="71"/>
      <c r="V203" s="71"/>
      <c r="W203" s="71"/>
      <c r="X203" s="71"/>
      <c r="Y203" s="71"/>
      <c r="Z203" s="71"/>
      <c r="AA203" s="71"/>
      <c r="AB203" s="71"/>
      <c r="AC203" s="71"/>
      <c r="AD203" s="71"/>
      <c r="AE203" s="71"/>
      <c r="AF203" s="71"/>
      <c r="AG203" s="94"/>
      <c r="AH203" s="71"/>
      <c r="AI203" s="71"/>
      <c r="AJ203" s="71"/>
      <c r="AK203" s="71">
        <f t="shared" si="28"/>
        <v>0</v>
      </c>
      <c r="AL203" s="79">
        <f t="shared" si="29"/>
        <v>0</v>
      </c>
    </row>
    <row r="204" spans="1:38">
      <c r="A204" s="163">
        <v>202</v>
      </c>
      <c r="B204" s="182" t="s">
        <v>1041</v>
      </c>
      <c r="C204" s="177" t="s">
        <v>1042</v>
      </c>
      <c r="D204" s="185" t="s">
        <v>1</v>
      </c>
      <c r="E204" s="164">
        <v>0</v>
      </c>
      <c r="F204" s="165">
        <v>0</v>
      </c>
      <c r="G204" s="165">
        <v>0</v>
      </c>
      <c r="H204" s="166">
        <v>0</v>
      </c>
      <c r="I204" s="167">
        <v>0</v>
      </c>
      <c r="J204" s="165">
        <v>0</v>
      </c>
      <c r="K204" s="168">
        <v>0</v>
      </c>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row>
    <row r="205" spans="1:38">
      <c r="A205" s="163">
        <v>203</v>
      </c>
      <c r="B205" s="182" t="s">
        <v>1043</v>
      </c>
      <c r="C205" s="177" t="s">
        <v>1044</v>
      </c>
      <c r="D205" s="185" t="s">
        <v>1</v>
      </c>
      <c r="E205" s="164">
        <v>0</v>
      </c>
      <c r="F205" s="165">
        <v>0</v>
      </c>
      <c r="G205" s="165">
        <v>0</v>
      </c>
      <c r="H205" s="166">
        <v>0</v>
      </c>
      <c r="I205" s="167">
        <v>0</v>
      </c>
      <c r="J205" s="165">
        <v>0</v>
      </c>
      <c r="K205" s="168">
        <v>0</v>
      </c>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row>
    <row r="206" spans="1:38">
      <c r="A206" s="163">
        <v>204</v>
      </c>
      <c r="B206" s="182" t="s">
        <v>1045</v>
      </c>
      <c r="C206" s="177" t="s">
        <v>1046</v>
      </c>
      <c r="D206" s="185" t="s">
        <v>1</v>
      </c>
      <c r="E206" s="164">
        <v>0</v>
      </c>
      <c r="F206" s="165">
        <v>0</v>
      </c>
      <c r="G206" s="165">
        <v>0</v>
      </c>
      <c r="H206" s="166">
        <v>0</v>
      </c>
      <c r="I206" s="167">
        <v>0</v>
      </c>
      <c r="J206" s="165">
        <v>0</v>
      </c>
      <c r="K206" s="168">
        <v>0</v>
      </c>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row>
    <row r="207" spans="1:38">
      <c r="A207" s="163">
        <v>205</v>
      </c>
      <c r="B207" s="182" t="s">
        <v>1047</v>
      </c>
      <c r="C207" s="177" t="s">
        <v>1048</v>
      </c>
      <c r="D207" s="185" t="s">
        <v>1</v>
      </c>
      <c r="E207" s="164">
        <v>57</v>
      </c>
      <c r="F207" s="165">
        <v>6310</v>
      </c>
      <c r="G207" s="165">
        <v>2242</v>
      </c>
      <c r="H207" s="166">
        <v>0.20000000000000004</v>
      </c>
      <c r="I207" s="167">
        <v>0.71575277337559429</v>
      </c>
      <c r="J207" s="165">
        <v>1793.6</v>
      </c>
      <c r="K207" s="168">
        <v>102235.2</v>
      </c>
      <c r="L207" s="71">
        <v>10</v>
      </c>
      <c r="M207" s="71"/>
      <c r="N207" s="91"/>
      <c r="O207" s="71"/>
      <c r="P207" s="71"/>
      <c r="Q207" s="71"/>
      <c r="R207" s="71"/>
      <c r="S207" s="71"/>
      <c r="T207" s="71"/>
      <c r="U207" s="71"/>
      <c r="V207" s="71"/>
      <c r="W207" s="71"/>
      <c r="X207" s="71"/>
      <c r="Y207" s="71"/>
      <c r="Z207" s="71"/>
      <c r="AA207" s="71"/>
      <c r="AB207" s="71"/>
      <c r="AC207" s="71"/>
      <c r="AD207" s="71">
        <v>6</v>
      </c>
      <c r="AE207" s="71"/>
      <c r="AF207" s="71"/>
      <c r="AG207" s="94"/>
      <c r="AH207" s="71"/>
      <c r="AI207" s="71"/>
      <c r="AJ207" s="71"/>
      <c r="AK207" s="71">
        <f>SUBTOTAL(9,L207:AJ207)</f>
        <v>16</v>
      </c>
      <c r="AL207" s="79">
        <f>+J207*AK207</f>
        <v>28697.599999999999</v>
      </c>
    </row>
    <row r="208" spans="1:38">
      <c r="A208" s="163">
        <v>206</v>
      </c>
      <c r="B208" s="182" t="s">
        <v>1049</v>
      </c>
      <c r="C208" s="177" t="s">
        <v>1050</v>
      </c>
      <c r="D208" s="185" t="s">
        <v>1</v>
      </c>
      <c r="E208" s="164">
        <v>0</v>
      </c>
      <c r="F208" s="165">
        <v>0</v>
      </c>
      <c r="G208" s="165">
        <v>0</v>
      </c>
      <c r="H208" s="166">
        <v>0</v>
      </c>
      <c r="I208" s="167">
        <v>0</v>
      </c>
      <c r="J208" s="165">
        <v>0</v>
      </c>
      <c r="K208" s="168">
        <v>0</v>
      </c>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row>
    <row r="209" spans="1:38">
      <c r="A209" s="163">
        <v>207</v>
      </c>
      <c r="B209" s="182" t="s">
        <v>1051</v>
      </c>
      <c r="C209" s="177" t="s">
        <v>1052</v>
      </c>
      <c r="D209" s="185" t="s">
        <v>1</v>
      </c>
      <c r="E209" s="164">
        <v>110</v>
      </c>
      <c r="F209" s="165">
        <v>3306</v>
      </c>
      <c r="G209" s="165">
        <v>1492</v>
      </c>
      <c r="H209" s="166">
        <v>0.20000000000000007</v>
      </c>
      <c r="I209" s="167">
        <v>0.63895946763460376</v>
      </c>
      <c r="J209" s="165">
        <v>1193.5999999999999</v>
      </c>
      <c r="K209" s="168">
        <v>131296</v>
      </c>
      <c r="L209" s="71">
        <v>20</v>
      </c>
      <c r="M209" s="71">
        <v>2</v>
      </c>
      <c r="N209" s="91">
        <v>2</v>
      </c>
      <c r="O209" s="71"/>
      <c r="P209" s="71">
        <v>2</v>
      </c>
      <c r="Q209" s="71">
        <v>2</v>
      </c>
      <c r="R209" s="71">
        <v>2</v>
      </c>
      <c r="S209" s="71">
        <v>2</v>
      </c>
      <c r="T209" s="71">
        <v>2</v>
      </c>
      <c r="U209" s="71">
        <v>2</v>
      </c>
      <c r="V209" s="71">
        <v>2</v>
      </c>
      <c r="W209" s="71">
        <v>2</v>
      </c>
      <c r="X209" s="71">
        <v>2</v>
      </c>
      <c r="Y209" s="71">
        <v>2</v>
      </c>
      <c r="Z209" s="71">
        <v>2</v>
      </c>
      <c r="AA209" s="71">
        <v>2</v>
      </c>
      <c r="AB209" s="71">
        <v>2</v>
      </c>
      <c r="AC209" s="71"/>
      <c r="AD209" s="71"/>
      <c r="AE209" s="71">
        <v>4</v>
      </c>
      <c r="AF209" s="71"/>
      <c r="AG209" s="94">
        <v>8</v>
      </c>
      <c r="AH209" s="71"/>
      <c r="AI209" s="71">
        <v>5</v>
      </c>
      <c r="AJ209" s="71"/>
      <c r="AK209" s="71">
        <f>SUBTOTAL(9,L209:AJ209)</f>
        <v>67</v>
      </c>
      <c r="AL209" s="79">
        <f>+J209*AK209</f>
        <v>79971.199999999997</v>
      </c>
    </row>
    <row r="210" spans="1:38">
      <c r="A210" s="163">
        <v>208</v>
      </c>
      <c r="B210" s="182" t="s">
        <v>1053</v>
      </c>
      <c r="C210" s="177" t="s">
        <v>1054</v>
      </c>
      <c r="D210" s="185" t="s">
        <v>1</v>
      </c>
      <c r="E210" s="164">
        <v>0</v>
      </c>
      <c r="F210" s="165">
        <v>0</v>
      </c>
      <c r="G210" s="165">
        <v>0</v>
      </c>
      <c r="H210" s="166">
        <v>0</v>
      </c>
      <c r="I210" s="167">
        <v>0</v>
      </c>
      <c r="J210" s="165">
        <v>0</v>
      </c>
      <c r="K210" s="168">
        <v>0</v>
      </c>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row>
    <row r="211" spans="1:38">
      <c r="A211" s="163">
        <v>209</v>
      </c>
      <c r="B211" s="182" t="s">
        <v>1055</v>
      </c>
      <c r="C211" s="177" t="s">
        <v>1054</v>
      </c>
      <c r="D211" s="185" t="s">
        <v>1</v>
      </c>
      <c r="E211" s="164">
        <v>0</v>
      </c>
      <c r="F211" s="165">
        <v>0</v>
      </c>
      <c r="G211" s="165">
        <v>0</v>
      </c>
      <c r="H211" s="166">
        <v>0</v>
      </c>
      <c r="I211" s="167">
        <v>0</v>
      </c>
      <c r="J211" s="165">
        <v>0</v>
      </c>
      <c r="K211" s="168">
        <v>0</v>
      </c>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row>
    <row r="212" spans="1:38">
      <c r="A212" s="163">
        <v>210</v>
      </c>
      <c r="B212" s="182" t="s">
        <v>1056</v>
      </c>
      <c r="C212" s="177" t="s">
        <v>1057</v>
      </c>
      <c r="D212" s="185" t="s">
        <v>1</v>
      </c>
      <c r="E212" s="164">
        <v>0</v>
      </c>
      <c r="F212" s="165">
        <v>0</v>
      </c>
      <c r="G212" s="165">
        <v>0</v>
      </c>
      <c r="H212" s="166">
        <v>0</v>
      </c>
      <c r="I212" s="167">
        <v>0</v>
      </c>
      <c r="J212" s="165">
        <v>0</v>
      </c>
      <c r="K212" s="168">
        <v>0</v>
      </c>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row>
    <row r="213" spans="1:38">
      <c r="A213" s="163">
        <v>211</v>
      </c>
      <c r="B213" s="182" t="s">
        <v>1058</v>
      </c>
      <c r="C213" s="177" t="s">
        <v>1059</v>
      </c>
      <c r="D213" s="185" t="s">
        <v>1</v>
      </c>
      <c r="E213" s="164">
        <v>20</v>
      </c>
      <c r="F213" s="165">
        <v>3434</v>
      </c>
      <c r="G213" s="165">
        <v>1683</v>
      </c>
      <c r="H213" s="166">
        <v>0.19999999999999996</v>
      </c>
      <c r="I213" s="167">
        <v>0.60792079207920791</v>
      </c>
      <c r="J213" s="165">
        <v>1346.4</v>
      </c>
      <c r="K213" s="168">
        <v>26928</v>
      </c>
      <c r="L213" s="71"/>
      <c r="M213" s="71"/>
      <c r="N213" s="91"/>
      <c r="O213" s="71"/>
      <c r="P213" s="71"/>
      <c r="Q213" s="71"/>
      <c r="R213" s="71"/>
      <c r="S213" s="71"/>
      <c r="T213" s="71"/>
      <c r="U213" s="71"/>
      <c r="V213" s="71"/>
      <c r="W213" s="71"/>
      <c r="X213" s="71"/>
      <c r="Y213" s="71"/>
      <c r="Z213" s="71"/>
      <c r="AA213" s="71"/>
      <c r="AB213" s="71"/>
      <c r="AC213" s="71"/>
      <c r="AD213" s="71"/>
      <c r="AE213" s="71"/>
      <c r="AF213" s="71"/>
      <c r="AG213" s="94"/>
      <c r="AH213" s="71"/>
      <c r="AI213" s="71"/>
      <c r="AJ213" s="71"/>
      <c r="AK213" s="71">
        <f>SUBTOTAL(9,L213:AJ213)</f>
        <v>0</v>
      </c>
      <c r="AL213" s="79">
        <f>+J213*AK213</f>
        <v>0</v>
      </c>
    </row>
    <row r="214" spans="1:38">
      <c r="A214" s="163">
        <v>212</v>
      </c>
      <c r="B214" s="182" t="s">
        <v>1060</v>
      </c>
      <c r="C214" s="177" t="s">
        <v>1061</v>
      </c>
      <c r="D214" s="185" t="s">
        <v>1</v>
      </c>
      <c r="E214" s="164">
        <v>0</v>
      </c>
      <c r="F214" s="165">
        <v>0</v>
      </c>
      <c r="G214" s="165">
        <v>0</v>
      </c>
      <c r="H214" s="166">
        <v>0</v>
      </c>
      <c r="I214" s="167">
        <v>0</v>
      </c>
      <c r="J214" s="165">
        <v>0</v>
      </c>
      <c r="K214" s="168">
        <v>0</v>
      </c>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row>
    <row r="215" spans="1:38">
      <c r="A215" s="163">
        <v>213</v>
      </c>
      <c r="B215" s="182" t="s">
        <v>1062</v>
      </c>
      <c r="C215" s="177" t="s">
        <v>1061</v>
      </c>
      <c r="D215" s="185" t="s">
        <v>1</v>
      </c>
      <c r="E215" s="164">
        <v>0</v>
      </c>
      <c r="F215" s="165">
        <v>0</v>
      </c>
      <c r="G215" s="165">
        <v>0</v>
      </c>
      <c r="H215" s="166">
        <v>0</v>
      </c>
      <c r="I215" s="167">
        <v>0</v>
      </c>
      <c r="J215" s="165">
        <v>0</v>
      </c>
      <c r="K215" s="168">
        <v>0</v>
      </c>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row>
    <row r="216" spans="1:38">
      <c r="A216" s="163">
        <v>214</v>
      </c>
      <c r="B216" s="182" t="s">
        <v>1063</v>
      </c>
      <c r="C216" s="177" t="s">
        <v>1064</v>
      </c>
      <c r="D216" s="185" t="s">
        <v>1</v>
      </c>
      <c r="E216" s="164">
        <v>0</v>
      </c>
      <c r="F216" s="165">
        <v>0</v>
      </c>
      <c r="G216" s="165">
        <v>0</v>
      </c>
      <c r="H216" s="166">
        <v>0</v>
      </c>
      <c r="I216" s="167">
        <v>0</v>
      </c>
      <c r="J216" s="165">
        <v>0</v>
      </c>
      <c r="K216" s="168">
        <v>0</v>
      </c>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row>
    <row r="217" spans="1:38">
      <c r="A217" s="163">
        <v>215</v>
      </c>
      <c r="B217" s="182" t="s">
        <v>1065</v>
      </c>
      <c r="C217" s="177" t="s">
        <v>1066</v>
      </c>
      <c r="D217" s="185" t="s">
        <v>1</v>
      </c>
      <c r="E217" s="164">
        <v>0</v>
      </c>
      <c r="F217" s="165">
        <v>0</v>
      </c>
      <c r="G217" s="165">
        <v>0</v>
      </c>
      <c r="H217" s="166">
        <v>0</v>
      </c>
      <c r="I217" s="167">
        <v>0</v>
      </c>
      <c r="J217" s="165">
        <v>0</v>
      </c>
      <c r="K217" s="168">
        <v>0</v>
      </c>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row>
    <row r="218" spans="1:38">
      <c r="A218" s="163">
        <v>216</v>
      </c>
      <c r="B218" s="182" t="s">
        <v>1067</v>
      </c>
      <c r="C218" s="177" t="s">
        <v>1068</v>
      </c>
      <c r="D218" s="185" t="s">
        <v>1</v>
      </c>
      <c r="E218" s="164">
        <v>0</v>
      </c>
      <c r="F218" s="165">
        <v>0</v>
      </c>
      <c r="G218" s="165">
        <v>0</v>
      </c>
      <c r="H218" s="166">
        <v>0</v>
      </c>
      <c r="I218" s="167">
        <v>0</v>
      </c>
      <c r="J218" s="165">
        <v>0</v>
      </c>
      <c r="K218" s="168">
        <v>0</v>
      </c>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row>
    <row r="219" spans="1:38">
      <c r="A219" s="163">
        <v>217</v>
      </c>
      <c r="B219" s="182" t="s">
        <v>1069</v>
      </c>
      <c r="C219" s="177" t="s">
        <v>1070</v>
      </c>
      <c r="D219" s="185" t="s">
        <v>1</v>
      </c>
      <c r="E219" s="164">
        <v>0</v>
      </c>
      <c r="F219" s="165">
        <v>0</v>
      </c>
      <c r="G219" s="165">
        <v>0</v>
      </c>
      <c r="H219" s="166">
        <v>0</v>
      </c>
      <c r="I219" s="167">
        <v>0</v>
      </c>
      <c r="J219" s="165">
        <v>0</v>
      </c>
      <c r="K219" s="168">
        <v>0</v>
      </c>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row>
    <row r="220" spans="1:38">
      <c r="A220" s="163">
        <v>218</v>
      </c>
      <c r="B220" s="182" t="s">
        <v>1071</v>
      </c>
      <c r="C220" s="177" t="s">
        <v>1072</v>
      </c>
      <c r="D220" s="185" t="s">
        <v>1</v>
      </c>
      <c r="E220" s="164">
        <v>0</v>
      </c>
      <c r="F220" s="165">
        <v>0</v>
      </c>
      <c r="G220" s="165">
        <v>0</v>
      </c>
      <c r="H220" s="166">
        <v>0</v>
      </c>
      <c r="I220" s="167">
        <v>0</v>
      </c>
      <c r="J220" s="165">
        <v>0</v>
      </c>
      <c r="K220" s="168">
        <v>0</v>
      </c>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row>
    <row r="221" spans="1:38">
      <c r="A221" s="163">
        <v>219</v>
      </c>
      <c r="B221" s="182" t="s">
        <v>1073</v>
      </c>
      <c r="C221" s="177" t="s">
        <v>1072</v>
      </c>
      <c r="D221" s="185" t="s">
        <v>1</v>
      </c>
      <c r="E221" s="164">
        <v>0</v>
      </c>
      <c r="F221" s="165">
        <v>0</v>
      </c>
      <c r="G221" s="165">
        <v>0</v>
      </c>
      <c r="H221" s="166">
        <v>0</v>
      </c>
      <c r="I221" s="167">
        <v>0</v>
      </c>
      <c r="J221" s="165">
        <v>0</v>
      </c>
      <c r="K221" s="168">
        <v>0</v>
      </c>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row>
    <row r="222" spans="1:38">
      <c r="A222" s="163">
        <v>220</v>
      </c>
      <c r="B222" s="182" t="s">
        <v>1074</v>
      </c>
      <c r="C222" s="177" t="s">
        <v>1075</v>
      </c>
      <c r="D222" s="185" t="s">
        <v>1</v>
      </c>
      <c r="E222" s="164">
        <v>0</v>
      </c>
      <c r="F222" s="165">
        <v>0</v>
      </c>
      <c r="G222" s="165">
        <v>0</v>
      </c>
      <c r="H222" s="166">
        <v>0</v>
      </c>
      <c r="I222" s="167">
        <v>0</v>
      </c>
      <c r="J222" s="165">
        <v>0</v>
      </c>
      <c r="K222" s="168">
        <v>0</v>
      </c>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row>
    <row r="223" spans="1:38">
      <c r="A223" s="163">
        <v>221</v>
      </c>
      <c r="B223" s="182" t="s">
        <v>1076</v>
      </c>
      <c r="C223" s="177" t="s">
        <v>1075</v>
      </c>
      <c r="D223" s="185" t="s">
        <v>1</v>
      </c>
      <c r="E223" s="164">
        <v>0</v>
      </c>
      <c r="F223" s="165">
        <v>0</v>
      </c>
      <c r="G223" s="165">
        <v>0</v>
      </c>
      <c r="H223" s="166">
        <v>0</v>
      </c>
      <c r="I223" s="167">
        <v>0</v>
      </c>
      <c r="J223" s="165">
        <v>0</v>
      </c>
      <c r="K223" s="168">
        <v>0</v>
      </c>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row>
    <row r="224" spans="1:38">
      <c r="A224" s="163">
        <v>222</v>
      </c>
      <c r="B224" s="182" t="s">
        <v>1077</v>
      </c>
      <c r="C224" s="177" t="s">
        <v>1078</v>
      </c>
      <c r="D224" s="185" t="s">
        <v>1</v>
      </c>
      <c r="E224" s="164">
        <v>0</v>
      </c>
      <c r="F224" s="165">
        <v>0</v>
      </c>
      <c r="G224" s="165">
        <v>0</v>
      </c>
      <c r="H224" s="166">
        <v>0</v>
      </c>
      <c r="I224" s="167">
        <v>0</v>
      </c>
      <c r="J224" s="165">
        <v>0</v>
      </c>
      <c r="K224" s="168">
        <v>0</v>
      </c>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row>
    <row r="225" spans="1:38">
      <c r="A225" s="163">
        <v>223</v>
      </c>
      <c r="B225" s="182" t="s">
        <v>1079</v>
      </c>
      <c r="C225" s="177" t="s">
        <v>1078</v>
      </c>
      <c r="D225" s="185" t="s">
        <v>1</v>
      </c>
      <c r="E225" s="164">
        <v>0</v>
      </c>
      <c r="F225" s="165">
        <v>0</v>
      </c>
      <c r="G225" s="165">
        <v>0</v>
      </c>
      <c r="H225" s="166">
        <v>0</v>
      </c>
      <c r="I225" s="167">
        <v>0</v>
      </c>
      <c r="J225" s="165">
        <v>0</v>
      </c>
      <c r="K225" s="168">
        <v>0</v>
      </c>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row>
    <row r="226" spans="1:38">
      <c r="A226" s="163">
        <v>224</v>
      </c>
      <c r="B226" s="182" t="s">
        <v>1080</v>
      </c>
      <c r="C226" s="177" t="s">
        <v>1081</v>
      </c>
      <c r="D226" s="185" t="s">
        <v>1</v>
      </c>
      <c r="E226" s="164">
        <v>0</v>
      </c>
      <c r="F226" s="165">
        <v>0</v>
      </c>
      <c r="G226" s="165">
        <v>0</v>
      </c>
      <c r="H226" s="166">
        <v>0</v>
      </c>
      <c r="I226" s="167">
        <v>0</v>
      </c>
      <c r="J226" s="165">
        <v>0</v>
      </c>
      <c r="K226" s="168">
        <v>0</v>
      </c>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row>
    <row r="227" spans="1:38">
      <c r="A227" s="163">
        <v>225</v>
      </c>
      <c r="B227" s="182" t="s">
        <v>1082</v>
      </c>
      <c r="C227" s="177" t="s">
        <v>1081</v>
      </c>
      <c r="D227" s="185" t="s">
        <v>1</v>
      </c>
      <c r="E227" s="164">
        <v>0</v>
      </c>
      <c r="F227" s="165">
        <v>0</v>
      </c>
      <c r="G227" s="165">
        <v>0</v>
      </c>
      <c r="H227" s="166">
        <v>0</v>
      </c>
      <c r="I227" s="167">
        <v>0</v>
      </c>
      <c r="J227" s="165">
        <v>0</v>
      </c>
      <c r="K227" s="168">
        <v>0</v>
      </c>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row>
    <row r="228" spans="1:38">
      <c r="A228" s="163">
        <v>226</v>
      </c>
      <c r="B228" s="182" t="s">
        <v>1083</v>
      </c>
      <c r="C228" s="177" t="s">
        <v>1084</v>
      </c>
      <c r="D228" s="185" t="s">
        <v>1</v>
      </c>
      <c r="E228" s="164">
        <v>0</v>
      </c>
      <c r="F228" s="165">
        <v>0</v>
      </c>
      <c r="G228" s="165">
        <v>0</v>
      </c>
      <c r="H228" s="166">
        <v>0</v>
      </c>
      <c r="I228" s="167">
        <v>0</v>
      </c>
      <c r="J228" s="165">
        <v>0</v>
      </c>
      <c r="K228" s="168">
        <v>0</v>
      </c>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row>
    <row r="229" spans="1:38">
      <c r="A229" s="163">
        <v>227</v>
      </c>
      <c r="B229" s="182" t="s">
        <v>1085</v>
      </c>
      <c r="C229" s="177" t="s">
        <v>1084</v>
      </c>
      <c r="D229" s="185" t="s">
        <v>1</v>
      </c>
      <c r="E229" s="164">
        <v>0</v>
      </c>
      <c r="F229" s="165">
        <v>0</v>
      </c>
      <c r="G229" s="165">
        <v>0</v>
      </c>
      <c r="H229" s="166">
        <v>0</v>
      </c>
      <c r="I229" s="167">
        <v>0</v>
      </c>
      <c r="J229" s="165">
        <v>0</v>
      </c>
      <c r="K229" s="168">
        <v>0</v>
      </c>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row>
    <row r="230" spans="1:38">
      <c r="A230" s="163">
        <v>228</v>
      </c>
      <c r="B230" s="182" t="s">
        <v>1086</v>
      </c>
      <c r="C230" s="177" t="s">
        <v>1087</v>
      </c>
      <c r="D230" s="185" t="s">
        <v>1</v>
      </c>
      <c r="E230" s="164">
        <v>0</v>
      </c>
      <c r="F230" s="165">
        <v>0</v>
      </c>
      <c r="G230" s="165">
        <v>0</v>
      </c>
      <c r="H230" s="166">
        <v>0</v>
      </c>
      <c r="I230" s="167">
        <v>0</v>
      </c>
      <c r="J230" s="165">
        <v>0</v>
      </c>
      <c r="K230" s="168">
        <v>0</v>
      </c>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row>
    <row r="231" spans="1:38">
      <c r="A231" s="163">
        <v>229</v>
      </c>
      <c r="B231" s="182" t="s">
        <v>1088</v>
      </c>
      <c r="C231" s="182" t="s">
        <v>1087</v>
      </c>
      <c r="D231" s="185" t="s">
        <v>1</v>
      </c>
      <c r="E231" s="164">
        <v>0</v>
      </c>
      <c r="F231" s="165">
        <v>0</v>
      </c>
      <c r="G231" s="165">
        <v>0</v>
      </c>
      <c r="H231" s="166">
        <v>0</v>
      </c>
      <c r="I231" s="167">
        <v>0</v>
      </c>
      <c r="J231" s="165">
        <v>0</v>
      </c>
      <c r="K231" s="168">
        <v>0</v>
      </c>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row>
    <row r="232" spans="1:38">
      <c r="A232" s="163">
        <v>230</v>
      </c>
      <c r="B232" s="182" t="s">
        <v>1089</v>
      </c>
      <c r="C232" s="182" t="s">
        <v>1090</v>
      </c>
      <c r="D232" s="185" t="s">
        <v>1091</v>
      </c>
      <c r="E232" s="164">
        <v>0</v>
      </c>
      <c r="F232" s="165">
        <v>0</v>
      </c>
      <c r="G232" s="165">
        <v>0</v>
      </c>
      <c r="H232" s="166">
        <v>0</v>
      </c>
      <c r="I232" s="167">
        <v>0</v>
      </c>
      <c r="J232" s="165">
        <v>0</v>
      </c>
      <c r="K232" s="168">
        <v>0</v>
      </c>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row>
    <row r="233" spans="1:38">
      <c r="A233" s="163">
        <v>231</v>
      </c>
      <c r="B233" s="182" t="s">
        <v>1092</v>
      </c>
      <c r="C233" s="182" t="s">
        <v>1093</v>
      </c>
      <c r="D233" s="185" t="s">
        <v>1094</v>
      </c>
      <c r="E233" s="164">
        <v>0</v>
      </c>
      <c r="F233" s="165">
        <v>0</v>
      </c>
      <c r="G233" s="165">
        <v>0</v>
      </c>
      <c r="H233" s="166">
        <v>0</v>
      </c>
      <c r="I233" s="167">
        <v>0</v>
      </c>
      <c r="J233" s="165">
        <v>0</v>
      </c>
      <c r="K233" s="168">
        <v>0</v>
      </c>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row>
    <row r="234" spans="1:38">
      <c r="A234" s="163">
        <v>232</v>
      </c>
      <c r="B234" s="182" t="s">
        <v>1095</v>
      </c>
      <c r="C234" s="182" t="s">
        <v>1096</v>
      </c>
      <c r="D234" s="185" t="s">
        <v>1094</v>
      </c>
      <c r="E234" s="164">
        <v>45</v>
      </c>
      <c r="F234" s="165">
        <v>13444</v>
      </c>
      <c r="G234" s="165">
        <v>10854</v>
      </c>
      <c r="H234" s="166">
        <v>0.25</v>
      </c>
      <c r="I234" s="167">
        <v>0.39448824754537337</v>
      </c>
      <c r="J234" s="165">
        <v>8140.5</v>
      </c>
      <c r="K234" s="168">
        <v>366322.5</v>
      </c>
      <c r="L234" s="71"/>
      <c r="M234" s="71"/>
      <c r="N234" s="91"/>
      <c r="O234" s="71"/>
      <c r="P234" s="71"/>
      <c r="Q234" s="71"/>
      <c r="R234" s="71"/>
      <c r="S234" s="71"/>
      <c r="T234" s="71"/>
      <c r="U234" s="71"/>
      <c r="V234" s="71"/>
      <c r="W234" s="71"/>
      <c r="X234" s="71"/>
      <c r="Y234" s="71"/>
      <c r="Z234" s="71"/>
      <c r="AA234" s="71"/>
      <c r="AB234" s="71"/>
      <c r="AC234" s="71"/>
      <c r="AD234" s="71"/>
      <c r="AE234" s="71"/>
      <c r="AF234" s="71"/>
      <c r="AG234" s="94"/>
      <c r="AH234" s="71"/>
      <c r="AI234" s="71"/>
      <c r="AJ234" s="71"/>
      <c r="AK234" s="71">
        <f>SUBTOTAL(9,L234:AJ234)</f>
        <v>0</v>
      </c>
      <c r="AL234" s="79">
        <f>+J234*AK234</f>
        <v>0</v>
      </c>
    </row>
    <row r="235" spans="1:38">
      <c r="A235" s="163">
        <v>233</v>
      </c>
      <c r="B235" s="182" t="s">
        <v>1097</v>
      </c>
      <c r="C235" s="182" t="s">
        <v>1098</v>
      </c>
      <c r="D235" s="185" t="s">
        <v>1094</v>
      </c>
      <c r="E235" s="164">
        <v>0</v>
      </c>
      <c r="F235" s="165">
        <v>0</v>
      </c>
      <c r="G235" s="165">
        <v>0</v>
      </c>
      <c r="H235" s="166">
        <v>0</v>
      </c>
      <c r="I235" s="167">
        <v>0</v>
      </c>
      <c r="J235" s="165">
        <v>0</v>
      </c>
      <c r="K235" s="168">
        <v>0</v>
      </c>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row>
    <row r="236" spans="1:38">
      <c r="A236" s="163">
        <v>234</v>
      </c>
      <c r="B236" s="182" t="s">
        <v>1099</v>
      </c>
      <c r="C236" s="182" t="s">
        <v>1098</v>
      </c>
      <c r="D236" s="185" t="s">
        <v>1094</v>
      </c>
      <c r="E236" s="164">
        <v>0</v>
      </c>
      <c r="F236" s="165">
        <v>0</v>
      </c>
      <c r="G236" s="165">
        <v>0</v>
      </c>
      <c r="H236" s="166">
        <v>0</v>
      </c>
      <c r="I236" s="167">
        <v>0</v>
      </c>
      <c r="J236" s="165">
        <v>0</v>
      </c>
      <c r="K236" s="168">
        <v>0</v>
      </c>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row>
    <row r="237" spans="1:38">
      <c r="A237" s="163">
        <v>235</v>
      </c>
      <c r="B237" s="182" t="s">
        <v>1100</v>
      </c>
      <c r="C237" s="182" t="s">
        <v>1101</v>
      </c>
      <c r="D237" s="185" t="s">
        <v>1094</v>
      </c>
      <c r="E237" s="164">
        <v>0</v>
      </c>
      <c r="F237" s="165">
        <v>0</v>
      </c>
      <c r="G237" s="165">
        <v>0</v>
      </c>
      <c r="H237" s="166">
        <v>0</v>
      </c>
      <c r="I237" s="167">
        <v>0</v>
      </c>
      <c r="J237" s="165">
        <v>0</v>
      </c>
      <c r="K237" s="168">
        <v>0</v>
      </c>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row>
    <row r="238" spans="1:38">
      <c r="A238" s="163">
        <v>236</v>
      </c>
      <c r="B238" s="182" t="s">
        <v>1102</v>
      </c>
      <c r="C238" s="182" t="s">
        <v>1101</v>
      </c>
      <c r="D238" s="185" t="s">
        <v>1094</v>
      </c>
      <c r="E238" s="164">
        <v>0</v>
      </c>
      <c r="F238" s="165">
        <v>0</v>
      </c>
      <c r="G238" s="165">
        <v>0</v>
      </c>
      <c r="H238" s="166">
        <v>0</v>
      </c>
      <c r="I238" s="167">
        <v>0</v>
      </c>
      <c r="J238" s="165">
        <v>0</v>
      </c>
      <c r="K238" s="168">
        <v>0</v>
      </c>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row>
    <row r="239" spans="1:38">
      <c r="A239" s="163">
        <v>237</v>
      </c>
      <c r="B239" s="182" t="s">
        <v>1103</v>
      </c>
      <c r="C239" s="182" t="s">
        <v>1104</v>
      </c>
      <c r="D239" s="185" t="s">
        <v>1</v>
      </c>
      <c r="E239" s="164">
        <v>0</v>
      </c>
      <c r="F239" s="165">
        <v>0</v>
      </c>
      <c r="G239" s="165">
        <v>0</v>
      </c>
      <c r="H239" s="166">
        <v>0</v>
      </c>
      <c r="I239" s="167">
        <v>0</v>
      </c>
      <c r="J239" s="165">
        <v>0</v>
      </c>
      <c r="K239" s="168">
        <v>0</v>
      </c>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row>
    <row r="240" spans="1:38">
      <c r="A240" s="163">
        <v>238</v>
      </c>
      <c r="B240" s="182" t="s">
        <v>1105</v>
      </c>
      <c r="C240" s="182" t="s">
        <v>1106</v>
      </c>
      <c r="D240" s="185" t="s">
        <v>1</v>
      </c>
      <c r="E240" s="164">
        <v>0</v>
      </c>
      <c r="F240" s="165">
        <v>0</v>
      </c>
      <c r="G240" s="165">
        <v>0</v>
      </c>
      <c r="H240" s="166">
        <v>0</v>
      </c>
      <c r="I240" s="167">
        <v>0</v>
      </c>
      <c r="J240" s="165">
        <v>0</v>
      </c>
      <c r="K240" s="168">
        <v>0</v>
      </c>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row>
    <row r="241" spans="1:38">
      <c r="A241" s="163">
        <v>239</v>
      </c>
      <c r="B241" s="182" t="s">
        <v>1107</v>
      </c>
      <c r="C241" s="182" t="s">
        <v>1108</v>
      </c>
      <c r="D241" s="185" t="s">
        <v>1</v>
      </c>
      <c r="E241" s="164">
        <v>0</v>
      </c>
      <c r="F241" s="165">
        <v>0</v>
      </c>
      <c r="G241" s="165">
        <v>0</v>
      </c>
      <c r="H241" s="166">
        <v>0</v>
      </c>
      <c r="I241" s="167">
        <v>0</v>
      </c>
      <c r="J241" s="165">
        <v>0</v>
      </c>
      <c r="K241" s="168">
        <v>0</v>
      </c>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row>
    <row r="242" spans="1:38">
      <c r="A242" s="163">
        <v>240</v>
      </c>
      <c r="B242" s="182" t="s">
        <v>1109</v>
      </c>
      <c r="C242" s="182" t="s">
        <v>1108</v>
      </c>
      <c r="D242" s="185" t="s">
        <v>1</v>
      </c>
      <c r="E242" s="164">
        <v>0</v>
      </c>
      <c r="F242" s="165">
        <v>0</v>
      </c>
      <c r="G242" s="165">
        <v>0</v>
      </c>
      <c r="H242" s="166">
        <v>0</v>
      </c>
      <c r="I242" s="167">
        <v>0</v>
      </c>
      <c r="J242" s="165">
        <v>0</v>
      </c>
      <c r="K242" s="168">
        <v>0</v>
      </c>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row>
    <row r="243" spans="1:38">
      <c r="A243" s="163">
        <v>241</v>
      </c>
      <c r="B243" s="182" t="s">
        <v>1110</v>
      </c>
      <c r="C243" s="182" t="s">
        <v>1111</v>
      </c>
      <c r="D243" s="185" t="s">
        <v>1112</v>
      </c>
      <c r="E243" s="164">
        <v>0</v>
      </c>
      <c r="F243" s="165">
        <v>0</v>
      </c>
      <c r="G243" s="165">
        <v>0</v>
      </c>
      <c r="H243" s="166">
        <v>0</v>
      </c>
      <c r="I243" s="167">
        <v>0</v>
      </c>
      <c r="J243" s="165">
        <v>0</v>
      </c>
      <c r="K243" s="168">
        <v>0</v>
      </c>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row>
    <row r="244" spans="1:38">
      <c r="A244" s="163">
        <v>242</v>
      </c>
      <c r="B244" s="182" t="s">
        <v>1113</v>
      </c>
      <c r="C244" s="182" t="s">
        <v>1114</v>
      </c>
      <c r="D244" s="185" t="s">
        <v>1</v>
      </c>
      <c r="E244" s="164">
        <v>0</v>
      </c>
      <c r="F244" s="165">
        <v>0</v>
      </c>
      <c r="G244" s="165">
        <v>0</v>
      </c>
      <c r="H244" s="166">
        <v>0</v>
      </c>
      <c r="I244" s="167">
        <v>0</v>
      </c>
      <c r="J244" s="165">
        <v>0</v>
      </c>
      <c r="K244" s="168">
        <v>0</v>
      </c>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row>
    <row r="245" spans="1:38">
      <c r="A245" s="163">
        <v>243</v>
      </c>
      <c r="B245" s="182" t="s">
        <v>1115</v>
      </c>
      <c r="C245" s="182" t="s">
        <v>1116</v>
      </c>
      <c r="D245" s="185" t="s">
        <v>1</v>
      </c>
      <c r="E245" s="164">
        <v>0</v>
      </c>
      <c r="F245" s="165">
        <v>0</v>
      </c>
      <c r="G245" s="165">
        <v>0</v>
      </c>
      <c r="H245" s="166">
        <v>0</v>
      </c>
      <c r="I245" s="167">
        <v>0</v>
      </c>
      <c r="J245" s="165">
        <v>0</v>
      </c>
      <c r="K245" s="168">
        <v>0</v>
      </c>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row>
    <row r="246" spans="1:38">
      <c r="A246" s="163">
        <v>244</v>
      </c>
      <c r="B246" s="182" t="s">
        <v>1117</v>
      </c>
      <c r="C246" s="182" t="s">
        <v>1118</v>
      </c>
      <c r="D246" s="185" t="s">
        <v>1</v>
      </c>
      <c r="E246" s="164">
        <v>0</v>
      </c>
      <c r="F246" s="165">
        <v>0</v>
      </c>
      <c r="G246" s="165">
        <v>0</v>
      </c>
      <c r="H246" s="166">
        <v>0</v>
      </c>
      <c r="I246" s="167">
        <v>0</v>
      </c>
      <c r="J246" s="165">
        <v>0</v>
      </c>
      <c r="K246" s="168">
        <v>0</v>
      </c>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row>
    <row r="247" spans="1:38">
      <c r="A247" s="163">
        <v>245</v>
      </c>
      <c r="B247" s="182" t="s">
        <v>1119</v>
      </c>
      <c r="C247" s="182" t="s">
        <v>1120</v>
      </c>
      <c r="D247" s="185" t="s">
        <v>1</v>
      </c>
      <c r="E247" s="164">
        <v>6</v>
      </c>
      <c r="F247" s="165">
        <v>53550</v>
      </c>
      <c r="G247" s="165">
        <v>8415</v>
      </c>
      <c r="H247" s="166">
        <v>0.2</v>
      </c>
      <c r="I247" s="167">
        <v>0.87428571428571433</v>
      </c>
      <c r="J247" s="165">
        <v>6732</v>
      </c>
      <c r="K247" s="168">
        <v>40392</v>
      </c>
      <c r="L247" s="71">
        <v>5</v>
      </c>
      <c r="M247" s="71"/>
      <c r="N247" s="91"/>
      <c r="O247" s="71"/>
      <c r="P247" s="71"/>
      <c r="Q247" s="71"/>
      <c r="R247" s="71"/>
      <c r="S247" s="71"/>
      <c r="T247" s="71"/>
      <c r="U247" s="71"/>
      <c r="V247" s="71"/>
      <c r="W247" s="71"/>
      <c r="X247" s="71"/>
      <c r="Y247" s="71"/>
      <c r="Z247" s="71"/>
      <c r="AA247" s="71"/>
      <c r="AB247" s="71"/>
      <c r="AC247" s="71"/>
      <c r="AD247" s="71"/>
      <c r="AE247" s="71"/>
      <c r="AF247" s="71">
        <v>5</v>
      </c>
      <c r="AG247" s="94"/>
      <c r="AH247" s="71"/>
      <c r="AI247" s="71"/>
      <c r="AJ247" s="71"/>
      <c r="AK247" s="71">
        <f>SUBTOTAL(9,L247:AJ247)</f>
        <v>10</v>
      </c>
      <c r="AL247" s="79">
        <f>+J247*AK247</f>
        <v>67320</v>
      </c>
    </row>
    <row r="248" spans="1:38">
      <c r="A248" s="163">
        <v>246</v>
      </c>
      <c r="B248" s="182" t="s">
        <v>1121</v>
      </c>
      <c r="C248" s="182" t="s">
        <v>1122</v>
      </c>
      <c r="D248" s="185" t="s">
        <v>1</v>
      </c>
      <c r="E248" s="164">
        <v>0</v>
      </c>
      <c r="F248" s="165">
        <v>0</v>
      </c>
      <c r="G248" s="165">
        <v>0</v>
      </c>
      <c r="H248" s="166">
        <v>0</v>
      </c>
      <c r="I248" s="167">
        <v>0</v>
      </c>
      <c r="J248" s="165">
        <v>0</v>
      </c>
      <c r="K248" s="168">
        <v>0</v>
      </c>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row>
    <row r="249" spans="1:38">
      <c r="A249" s="163">
        <v>247</v>
      </c>
      <c r="B249" s="182" t="s">
        <v>1123</v>
      </c>
      <c r="C249" s="182" t="s">
        <v>1124</v>
      </c>
      <c r="D249" s="185" t="s">
        <v>1</v>
      </c>
      <c r="E249" s="164">
        <v>7</v>
      </c>
      <c r="F249" s="165">
        <v>53560</v>
      </c>
      <c r="G249" s="165">
        <v>8415</v>
      </c>
      <c r="H249" s="166">
        <v>0.2</v>
      </c>
      <c r="I249" s="167">
        <v>0.87430918595967144</v>
      </c>
      <c r="J249" s="165">
        <v>6732</v>
      </c>
      <c r="K249" s="168">
        <v>47124</v>
      </c>
      <c r="L249" s="71">
        <v>5</v>
      </c>
      <c r="M249" s="71"/>
      <c r="N249" s="91"/>
      <c r="O249" s="71"/>
      <c r="P249" s="71"/>
      <c r="Q249" s="71"/>
      <c r="R249" s="71"/>
      <c r="S249" s="71"/>
      <c r="T249" s="71"/>
      <c r="U249" s="71"/>
      <c r="V249" s="71"/>
      <c r="W249" s="71"/>
      <c r="X249" s="71"/>
      <c r="Y249" s="71"/>
      <c r="Z249" s="71"/>
      <c r="AA249" s="71"/>
      <c r="AB249" s="71"/>
      <c r="AC249" s="71"/>
      <c r="AD249" s="71"/>
      <c r="AE249" s="71"/>
      <c r="AF249" s="71"/>
      <c r="AG249" s="94"/>
      <c r="AH249" s="71"/>
      <c r="AI249" s="71"/>
      <c r="AJ249" s="71"/>
      <c r="AK249" s="71">
        <f>SUBTOTAL(9,L249:AJ249)</f>
        <v>5</v>
      </c>
      <c r="AL249" s="79">
        <f>+J249*AK249</f>
        <v>33660</v>
      </c>
    </row>
    <row r="250" spans="1:38">
      <c r="A250" s="163">
        <v>248</v>
      </c>
      <c r="B250" s="182" t="s">
        <v>1125</v>
      </c>
      <c r="C250" s="182" t="s">
        <v>1126</v>
      </c>
      <c r="D250" s="185" t="s">
        <v>1</v>
      </c>
      <c r="E250" s="164">
        <v>0</v>
      </c>
      <c r="F250" s="165">
        <v>0</v>
      </c>
      <c r="G250" s="165">
        <v>0</v>
      </c>
      <c r="H250" s="166">
        <v>0</v>
      </c>
      <c r="I250" s="167">
        <v>0</v>
      </c>
      <c r="J250" s="165">
        <v>0</v>
      </c>
      <c r="K250" s="168">
        <v>0</v>
      </c>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row>
    <row r="251" spans="1:38">
      <c r="A251" s="163">
        <v>249</v>
      </c>
      <c r="B251" s="182" t="s">
        <v>1127</v>
      </c>
      <c r="C251" s="182" t="s">
        <v>1128</v>
      </c>
      <c r="D251" s="185" t="s">
        <v>1</v>
      </c>
      <c r="E251" s="164">
        <v>10</v>
      </c>
      <c r="F251" s="165">
        <v>9365</v>
      </c>
      <c r="G251" s="165">
        <v>4630</v>
      </c>
      <c r="H251" s="166">
        <v>0.2</v>
      </c>
      <c r="I251" s="167">
        <v>0.60448478376935399</v>
      </c>
      <c r="J251" s="165">
        <v>3704</v>
      </c>
      <c r="K251" s="168">
        <v>37040</v>
      </c>
      <c r="L251" s="71">
        <v>10</v>
      </c>
      <c r="M251" s="71"/>
      <c r="N251" s="91"/>
      <c r="O251" s="71"/>
      <c r="P251" s="71"/>
      <c r="Q251" s="71"/>
      <c r="R251" s="71"/>
      <c r="S251" s="71"/>
      <c r="T251" s="71"/>
      <c r="U251" s="71"/>
      <c r="V251" s="71"/>
      <c r="W251" s="71"/>
      <c r="X251" s="71"/>
      <c r="Y251" s="71"/>
      <c r="Z251" s="71"/>
      <c r="AA251" s="71"/>
      <c r="AB251" s="71"/>
      <c r="AC251" s="71"/>
      <c r="AD251" s="71"/>
      <c r="AE251" s="71"/>
      <c r="AF251" s="71"/>
      <c r="AG251" s="94"/>
      <c r="AH251" s="71"/>
      <c r="AI251" s="71"/>
      <c r="AJ251" s="71"/>
      <c r="AK251" s="71">
        <f>SUBTOTAL(9,L251:AJ251)</f>
        <v>10</v>
      </c>
      <c r="AL251" s="79">
        <f>+J251*AK251</f>
        <v>37040</v>
      </c>
    </row>
    <row r="252" spans="1:38">
      <c r="A252" s="163">
        <v>250</v>
      </c>
      <c r="B252" s="182" t="s">
        <v>1129</v>
      </c>
      <c r="C252" s="182" t="s">
        <v>1130</v>
      </c>
      <c r="D252" s="185" t="s">
        <v>1</v>
      </c>
      <c r="E252" s="164">
        <v>0</v>
      </c>
      <c r="F252" s="165">
        <v>0</v>
      </c>
      <c r="G252" s="165">
        <v>0</v>
      </c>
      <c r="H252" s="166">
        <v>0</v>
      </c>
      <c r="I252" s="167">
        <v>0</v>
      </c>
      <c r="J252" s="165">
        <v>0</v>
      </c>
      <c r="K252" s="168">
        <v>0</v>
      </c>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row>
    <row r="253" spans="1:38">
      <c r="A253" s="163">
        <v>251</v>
      </c>
      <c r="B253" s="182" t="s">
        <v>1131</v>
      </c>
      <c r="C253" s="182" t="s">
        <v>1132</v>
      </c>
      <c r="D253" s="185" t="s">
        <v>1</v>
      </c>
      <c r="E253" s="164">
        <v>0</v>
      </c>
      <c r="F253" s="165">
        <v>0</v>
      </c>
      <c r="G253" s="165">
        <v>0</v>
      </c>
      <c r="H253" s="166">
        <v>0</v>
      </c>
      <c r="I253" s="167">
        <v>0</v>
      </c>
      <c r="J253" s="165">
        <v>0</v>
      </c>
      <c r="K253" s="168">
        <v>0</v>
      </c>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row>
    <row r="254" spans="1:38">
      <c r="A254" s="163">
        <v>252</v>
      </c>
      <c r="B254" s="182" t="s">
        <v>1133</v>
      </c>
      <c r="C254" s="182" t="s">
        <v>1134</v>
      </c>
      <c r="D254" s="185" t="s">
        <v>1</v>
      </c>
      <c r="E254" s="164">
        <v>0</v>
      </c>
      <c r="F254" s="165">
        <v>0</v>
      </c>
      <c r="G254" s="165">
        <v>0</v>
      </c>
      <c r="H254" s="166">
        <v>0</v>
      </c>
      <c r="I254" s="167">
        <v>0</v>
      </c>
      <c r="J254" s="165">
        <v>0</v>
      </c>
      <c r="K254" s="168">
        <v>0</v>
      </c>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row>
    <row r="255" spans="1:38">
      <c r="A255" s="163">
        <v>253</v>
      </c>
      <c r="B255" s="182" t="s">
        <v>1135</v>
      </c>
      <c r="C255" s="182" t="s">
        <v>1134</v>
      </c>
      <c r="D255" s="185" t="s">
        <v>1</v>
      </c>
      <c r="E255" s="164">
        <v>0</v>
      </c>
      <c r="F255" s="165">
        <v>0</v>
      </c>
      <c r="G255" s="165">
        <v>0</v>
      </c>
      <c r="H255" s="166">
        <v>0</v>
      </c>
      <c r="I255" s="167">
        <v>0</v>
      </c>
      <c r="J255" s="165">
        <v>0</v>
      </c>
      <c r="K255" s="168">
        <v>0</v>
      </c>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row>
    <row r="256" spans="1:38">
      <c r="A256" s="163">
        <v>254</v>
      </c>
      <c r="B256" s="182" t="s">
        <v>1136</v>
      </c>
      <c r="C256" s="182" t="s">
        <v>1137</v>
      </c>
      <c r="D256" s="185" t="s">
        <v>1094</v>
      </c>
      <c r="E256" s="164">
        <v>0</v>
      </c>
      <c r="F256" s="165">
        <v>0</v>
      </c>
      <c r="G256" s="165">
        <v>0</v>
      </c>
      <c r="H256" s="166">
        <v>0</v>
      </c>
      <c r="I256" s="167">
        <v>0</v>
      </c>
      <c r="J256" s="165">
        <v>0</v>
      </c>
      <c r="K256" s="168">
        <v>0</v>
      </c>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row>
    <row r="257" spans="1:38">
      <c r="A257" s="163">
        <v>255</v>
      </c>
      <c r="B257" s="182" t="s">
        <v>1138</v>
      </c>
      <c r="C257" s="182" t="s">
        <v>1137</v>
      </c>
      <c r="D257" s="185" t="s">
        <v>1094</v>
      </c>
      <c r="E257" s="164">
        <v>0</v>
      </c>
      <c r="F257" s="165">
        <v>0</v>
      </c>
      <c r="G257" s="165">
        <v>0</v>
      </c>
      <c r="H257" s="166">
        <v>0</v>
      </c>
      <c r="I257" s="167">
        <v>0</v>
      </c>
      <c r="J257" s="165">
        <v>0</v>
      </c>
      <c r="K257" s="168">
        <v>0</v>
      </c>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row>
    <row r="258" spans="1:38">
      <c r="A258" s="163">
        <v>256</v>
      </c>
      <c r="B258" s="182" t="s">
        <v>1139</v>
      </c>
      <c r="C258" s="182" t="s">
        <v>1140</v>
      </c>
      <c r="D258" s="185" t="s">
        <v>1</v>
      </c>
      <c r="E258" s="164">
        <v>0</v>
      </c>
      <c r="F258" s="165">
        <v>0</v>
      </c>
      <c r="G258" s="165">
        <v>0</v>
      </c>
      <c r="H258" s="166">
        <v>0</v>
      </c>
      <c r="I258" s="167">
        <v>0</v>
      </c>
      <c r="J258" s="165">
        <v>0</v>
      </c>
      <c r="K258" s="168">
        <v>0</v>
      </c>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row>
    <row r="259" spans="1:38">
      <c r="A259" s="163">
        <v>257</v>
      </c>
      <c r="B259" s="182" t="s">
        <v>1141</v>
      </c>
      <c r="C259" s="182" t="s">
        <v>1140</v>
      </c>
      <c r="D259" s="185" t="s">
        <v>1</v>
      </c>
      <c r="E259" s="164">
        <v>0</v>
      </c>
      <c r="F259" s="165">
        <v>0</v>
      </c>
      <c r="G259" s="165">
        <v>0</v>
      </c>
      <c r="H259" s="166">
        <v>0</v>
      </c>
      <c r="I259" s="167">
        <v>0</v>
      </c>
      <c r="J259" s="165">
        <v>0</v>
      </c>
      <c r="K259" s="168">
        <v>0</v>
      </c>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row>
    <row r="260" spans="1:38">
      <c r="A260" s="163">
        <v>258</v>
      </c>
      <c r="B260" s="182" t="s">
        <v>1142</v>
      </c>
      <c r="C260" s="182" t="s">
        <v>1143</v>
      </c>
      <c r="D260" s="185" t="s">
        <v>1094</v>
      </c>
      <c r="E260" s="164">
        <v>0</v>
      </c>
      <c r="F260" s="165">
        <v>0</v>
      </c>
      <c r="G260" s="165">
        <v>0</v>
      </c>
      <c r="H260" s="166">
        <v>0</v>
      </c>
      <c r="I260" s="167">
        <v>0</v>
      </c>
      <c r="J260" s="165">
        <v>0</v>
      </c>
      <c r="K260" s="168">
        <v>0</v>
      </c>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row>
    <row r="261" spans="1:38">
      <c r="A261" s="163">
        <v>259</v>
      </c>
      <c r="B261" s="182" t="s">
        <v>1144</v>
      </c>
      <c r="C261" s="182" t="s">
        <v>1143</v>
      </c>
      <c r="D261" s="185" t="s">
        <v>1094</v>
      </c>
      <c r="E261" s="164">
        <v>0</v>
      </c>
      <c r="F261" s="165">
        <v>0</v>
      </c>
      <c r="G261" s="165">
        <v>0</v>
      </c>
      <c r="H261" s="166">
        <v>0</v>
      </c>
      <c r="I261" s="167">
        <v>0</v>
      </c>
      <c r="J261" s="165">
        <v>0</v>
      </c>
      <c r="K261" s="168">
        <v>0</v>
      </c>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row>
    <row r="262" spans="1:38">
      <c r="A262" s="163">
        <v>260</v>
      </c>
      <c r="B262" s="182" t="s">
        <v>1145</v>
      </c>
      <c r="C262" s="182" t="s">
        <v>1146</v>
      </c>
      <c r="D262" s="185" t="s">
        <v>1094</v>
      </c>
      <c r="E262" s="164">
        <v>0</v>
      </c>
      <c r="F262" s="165">
        <v>0</v>
      </c>
      <c r="G262" s="165">
        <v>0</v>
      </c>
      <c r="H262" s="166">
        <v>0</v>
      </c>
      <c r="I262" s="167">
        <v>0</v>
      </c>
      <c r="J262" s="165">
        <v>0</v>
      </c>
      <c r="K262" s="168">
        <v>0</v>
      </c>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row>
    <row r="263" spans="1:38">
      <c r="A263" s="163">
        <v>261</v>
      </c>
      <c r="B263" s="182" t="s">
        <v>1147</v>
      </c>
      <c r="C263" s="182" t="s">
        <v>1146</v>
      </c>
      <c r="D263" s="185" t="s">
        <v>1094</v>
      </c>
      <c r="E263" s="164">
        <v>0</v>
      </c>
      <c r="F263" s="165">
        <v>0</v>
      </c>
      <c r="G263" s="165">
        <v>0</v>
      </c>
      <c r="H263" s="166">
        <v>0</v>
      </c>
      <c r="I263" s="167">
        <v>0</v>
      </c>
      <c r="J263" s="165">
        <v>0</v>
      </c>
      <c r="K263" s="168">
        <v>0</v>
      </c>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row>
    <row r="264" spans="1:38">
      <c r="A264" s="163">
        <v>262</v>
      </c>
      <c r="B264" s="182" t="s">
        <v>1148</v>
      </c>
      <c r="C264" s="182" t="s">
        <v>1149</v>
      </c>
      <c r="D264" s="185" t="s">
        <v>1</v>
      </c>
      <c r="E264" s="164">
        <v>0</v>
      </c>
      <c r="F264" s="165">
        <v>0</v>
      </c>
      <c r="G264" s="165">
        <v>0</v>
      </c>
      <c r="H264" s="166">
        <v>0</v>
      </c>
      <c r="I264" s="167">
        <v>0</v>
      </c>
      <c r="J264" s="165">
        <v>0</v>
      </c>
      <c r="K264" s="168">
        <v>0</v>
      </c>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row>
    <row r="265" spans="1:38">
      <c r="A265" s="163">
        <v>263</v>
      </c>
      <c r="B265" s="182" t="s">
        <v>1150</v>
      </c>
      <c r="C265" s="182" t="s">
        <v>1149</v>
      </c>
      <c r="D265" s="185" t="s">
        <v>1</v>
      </c>
      <c r="E265" s="164">
        <v>0</v>
      </c>
      <c r="F265" s="165">
        <v>0</v>
      </c>
      <c r="G265" s="165">
        <v>0</v>
      </c>
      <c r="H265" s="166">
        <v>0</v>
      </c>
      <c r="I265" s="167">
        <v>0</v>
      </c>
      <c r="J265" s="165">
        <v>0</v>
      </c>
      <c r="K265" s="168">
        <v>0</v>
      </c>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row>
    <row r="266" spans="1:38">
      <c r="A266" s="163">
        <v>264</v>
      </c>
      <c r="B266" s="182" t="s">
        <v>116</v>
      </c>
      <c r="C266" s="182" t="s">
        <v>1151</v>
      </c>
      <c r="D266" s="185" t="s">
        <v>1</v>
      </c>
      <c r="E266" s="164">
        <v>10</v>
      </c>
      <c r="F266" s="165">
        <v>5627</v>
      </c>
      <c r="G266" s="165">
        <v>670</v>
      </c>
      <c r="H266" s="166">
        <v>0.2</v>
      </c>
      <c r="I266" s="167">
        <v>0.90474497956282207</v>
      </c>
      <c r="J266" s="165">
        <v>536</v>
      </c>
      <c r="K266" s="168">
        <v>5360</v>
      </c>
      <c r="L266" s="71"/>
      <c r="M266" s="71"/>
      <c r="N266" s="91"/>
      <c r="O266" s="71"/>
      <c r="P266" s="71"/>
      <c r="Q266" s="71"/>
      <c r="R266" s="71"/>
      <c r="S266" s="71"/>
      <c r="T266" s="71"/>
      <c r="U266" s="71"/>
      <c r="V266" s="71"/>
      <c r="W266" s="71"/>
      <c r="X266" s="71"/>
      <c r="Y266" s="71"/>
      <c r="Z266" s="71"/>
      <c r="AA266" s="71"/>
      <c r="AB266" s="71"/>
      <c r="AC266" s="71"/>
      <c r="AD266" s="71"/>
      <c r="AE266" s="71"/>
      <c r="AF266" s="71"/>
      <c r="AG266" s="94"/>
      <c r="AH266" s="71"/>
      <c r="AI266" s="71"/>
      <c r="AJ266" s="71"/>
      <c r="AK266" s="71">
        <f>SUBTOTAL(9,L266:AJ266)</f>
        <v>0</v>
      </c>
      <c r="AL266" s="79">
        <f>+J266*AK266</f>
        <v>0</v>
      </c>
    </row>
    <row r="267" spans="1:38">
      <c r="A267" s="163">
        <v>265</v>
      </c>
      <c r="B267" s="182" t="s">
        <v>1152</v>
      </c>
      <c r="C267" s="182" t="s">
        <v>117</v>
      </c>
      <c r="D267" s="185" t="s">
        <v>1</v>
      </c>
      <c r="E267" s="164">
        <v>0</v>
      </c>
      <c r="F267" s="165">
        <v>0</v>
      </c>
      <c r="G267" s="165">
        <v>0</v>
      </c>
      <c r="H267" s="166">
        <v>0</v>
      </c>
      <c r="I267" s="167">
        <v>0</v>
      </c>
      <c r="J267" s="165">
        <v>0</v>
      </c>
      <c r="K267" s="168">
        <v>0</v>
      </c>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row>
    <row r="268" spans="1:38">
      <c r="A268" s="163">
        <v>266</v>
      </c>
      <c r="B268" s="182" t="s">
        <v>118</v>
      </c>
      <c r="C268" s="182" t="s">
        <v>1153</v>
      </c>
      <c r="D268" s="185" t="s">
        <v>1</v>
      </c>
      <c r="E268" s="164">
        <v>34</v>
      </c>
      <c r="F268" s="165">
        <v>5831</v>
      </c>
      <c r="G268" s="165">
        <v>1204</v>
      </c>
      <c r="H268" s="166">
        <v>0.19999999999999996</v>
      </c>
      <c r="I268" s="167">
        <v>0.83481392557022804</v>
      </c>
      <c r="J268" s="165">
        <v>963.2</v>
      </c>
      <c r="K268" s="168">
        <v>32748.800000000003</v>
      </c>
      <c r="L268" s="71"/>
      <c r="M268" s="71"/>
      <c r="N268" s="91"/>
      <c r="O268" s="71"/>
      <c r="P268" s="71"/>
      <c r="Q268" s="71"/>
      <c r="R268" s="71"/>
      <c r="S268" s="71"/>
      <c r="T268" s="71"/>
      <c r="U268" s="71"/>
      <c r="V268" s="71"/>
      <c r="W268" s="71"/>
      <c r="X268" s="71"/>
      <c r="Y268" s="71"/>
      <c r="Z268" s="71"/>
      <c r="AA268" s="71"/>
      <c r="AB268" s="71"/>
      <c r="AC268" s="71"/>
      <c r="AD268" s="71"/>
      <c r="AE268" s="71"/>
      <c r="AF268" s="71"/>
      <c r="AG268" s="94"/>
      <c r="AH268" s="71"/>
      <c r="AI268" s="71"/>
      <c r="AJ268" s="71"/>
      <c r="AK268" s="71">
        <f>SUBTOTAL(9,L268:AJ268)</f>
        <v>0</v>
      </c>
      <c r="AL268" s="79">
        <f>+J268*AK268</f>
        <v>0</v>
      </c>
    </row>
    <row r="269" spans="1:38">
      <c r="A269" s="163">
        <v>267</v>
      </c>
      <c r="B269" s="182" t="s">
        <v>1154</v>
      </c>
      <c r="C269" s="182" t="s">
        <v>119</v>
      </c>
      <c r="D269" s="185" t="s">
        <v>1</v>
      </c>
      <c r="E269" s="164">
        <v>0</v>
      </c>
      <c r="F269" s="165">
        <v>0</v>
      </c>
      <c r="G269" s="165">
        <v>0</v>
      </c>
      <c r="H269" s="166">
        <v>0</v>
      </c>
      <c r="I269" s="167">
        <v>0</v>
      </c>
      <c r="J269" s="165">
        <v>0</v>
      </c>
      <c r="K269" s="168">
        <v>0</v>
      </c>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row>
    <row r="270" spans="1:38">
      <c r="A270" s="163">
        <v>268</v>
      </c>
      <c r="B270" s="182" t="s">
        <v>1155</v>
      </c>
      <c r="C270" s="182" t="s">
        <v>1156</v>
      </c>
      <c r="D270" s="185" t="s">
        <v>1</v>
      </c>
      <c r="E270" s="164">
        <v>0</v>
      </c>
      <c r="F270" s="165">
        <v>0</v>
      </c>
      <c r="G270" s="165">
        <v>0</v>
      </c>
      <c r="H270" s="166">
        <v>0</v>
      </c>
      <c r="I270" s="167">
        <v>0</v>
      </c>
      <c r="J270" s="165">
        <v>0</v>
      </c>
      <c r="K270" s="168">
        <v>0</v>
      </c>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row>
    <row r="271" spans="1:38">
      <c r="A271" s="163">
        <v>269</v>
      </c>
      <c r="B271" s="182" t="s">
        <v>1157</v>
      </c>
      <c r="C271" s="182" t="s">
        <v>1156</v>
      </c>
      <c r="D271" s="185" t="s">
        <v>1</v>
      </c>
      <c r="E271" s="164">
        <v>0</v>
      </c>
      <c r="F271" s="165">
        <v>0</v>
      </c>
      <c r="G271" s="165">
        <v>0</v>
      </c>
      <c r="H271" s="166">
        <v>0</v>
      </c>
      <c r="I271" s="167">
        <v>0</v>
      </c>
      <c r="J271" s="165">
        <v>0</v>
      </c>
      <c r="K271" s="168">
        <v>0</v>
      </c>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row>
    <row r="272" spans="1:38">
      <c r="A272" s="163">
        <v>270</v>
      </c>
      <c r="B272" s="182" t="s">
        <v>1158</v>
      </c>
      <c r="C272" s="182" t="s">
        <v>1159</v>
      </c>
      <c r="D272" s="185" t="s">
        <v>1</v>
      </c>
      <c r="E272" s="164">
        <v>0</v>
      </c>
      <c r="F272" s="165">
        <v>0</v>
      </c>
      <c r="G272" s="165">
        <v>0</v>
      </c>
      <c r="H272" s="166">
        <v>0</v>
      </c>
      <c r="I272" s="167">
        <v>0</v>
      </c>
      <c r="J272" s="165">
        <v>0</v>
      </c>
      <c r="K272" s="168">
        <v>0</v>
      </c>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row>
    <row r="273" spans="1:38">
      <c r="A273" s="163">
        <v>271</v>
      </c>
      <c r="B273" s="182" t="s">
        <v>1160</v>
      </c>
      <c r="C273" s="182" t="s">
        <v>1159</v>
      </c>
      <c r="D273" s="185" t="s">
        <v>1</v>
      </c>
      <c r="E273" s="164">
        <v>0</v>
      </c>
      <c r="F273" s="165">
        <v>0</v>
      </c>
      <c r="G273" s="165">
        <v>0</v>
      </c>
      <c r="H273" s="166">
        <v>0</v>
      </c>
      <c r="I273" s="167">
        <v>0</v>
      </c>
      <c r="J273" s="165">
        <v>0</v>
      </c>
      <c r="K273" s="168">
        <v>0</v>
      </c>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row>
    <row r="274" spans="1:38">
      <c r="A274" s="163">
        <v>272</v>
      </c>
      <c r="B274" s="182" t="s">
        <v>80</v>
      </c>
      <c r="C274" s="182" t="s">
        <v>1161</v>
      </c>
      <c r="D274" s="185" t="s">
        <v>1</v>
      </c>
      <c r="E274" s="164">
        <v>10</v>
      </c>
      <c r="F274" s="165">
        <v>3389</v>
      </c>
      <c r="G274" s="165">
        <v>819</v>
      </c>
      <c r="H274" s="166">
        <v>0.19999999999999996</v>
      </c>
      <c r="I274" s="167">
        <v>0.80666863381528475</v>
      </c>
      <c r="J274" s="165">
        <v>655.20000000000005</v>
      </c>
      <c r="K274" s="168">
        <v>6552</v>
      </c>
      <c r="L274" s="71"/>
      <c r="M274" s="71"/>
      <c r="N274" s="91"/>
      <c r="O274" s="71"/>
      <c r="P274" s="71"/>
      <c r="Q274" s="71"/>
      <c r="R274" s="71"/>
      <c r="S274" s="71"/>
      <c r="T274" s="71"/>
      <c r="U274" s="71"/>
      <c r="V274" s="71"/>
      <c r="W274" s="71"/>
      <c r="X274" s="71"/>
      <c r="Y274" s="71"/>
      <c r="Z274" s="71"/>
      <c r="AA274" s="71"/>
      <c r="AB274" s="71"/>
      <c r="AC274" s="71"/>
      <c r="AD274" s="71"/>
      <c r="AE274" s="71"/>
      <c r="AF274" s="71"/>
      <c r="AG274" s="94"/>
      <c r="AH274" s="71"/>
      <c r="AI274" s="71"/>
      <c r="AJ274" s="71"/>
      <c r="AK274" s="71">
        <f>SUBTOTAL(9,L274:AJ274)</f>
        <v>0</v>
      </c>
      <c r="AL274" s="79">
        <f>+J274*AK274</f>
        <v>0</v>
      </c>
    </row>
    <row r="275" spans="1:38">
      <c r="A275" s="163">
        <v>273</v>
      </c>
      <c r="B275" s="182" t="s">
        <v>1162</v>
      </c>
      <c r="C275" s="182" t="s">
        <v>81</v>
      </c>
      <c r="D275" s="185" t="s">
        <v>1</v>
      </c>
      <c r="E275" s="164">
        <v>0</v>
      </c>
      <c r="F275" s="165">
        <v>0</v>
      </c>
      <c r="G275" s="165">
        <v>0</v>
      </c>
      <c r="H275" s="166">
        <v>0</v>
      </c>
      <c r="I275" s="167">
        <v>0</v>
      </c>
      <c r="J275" s="165">
        <v>0</v>
      </c>
      <c r="K275" s="168">
        <v>0</v>
      </c>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row>
    <row r="276" spans="1:38">
      <c r="A276" s="163">
        <v>274</v>
      </c>
      <c r="B276" s="182" t="s">
        <v>1163</v>
      </c>
      <c r="C276" s="182" t="s">
        <v>1164</v>
      </c>
      <c r="D276" s="185" t="s">
        <v>1</v>
      </c>
      <c r="E276" s="164">
        <v>0</v>
      </c>
      <c r="F276" s="165">
        <v>0</v>
      </c>
      <c r="G276" s="165">
        <v>0</v>
      </c>
      <c r="H276" s="166">
        <v>0</v>
      </c>
      <c r="I276" s="167">
        <v>0</v>
      </c>
      <c r="J276" s="165">
        <v>0</v>
      </c>
      <c r="K276" s="168">
        <v>0</v>
      </c>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row>
    <row r="277" spans="1:38">
      <c r="A277" s="163">
        <v>275</v>
      </c>
      <c r="B277" s="182" t="s">
        <v>1165</v>
      </c>
      <c r="C277" s="182" t="s">
        <v>1164</v>
      </c>
      <c r="D277" s="185" t="s">
        <v>1</v>
      </c>
      <c r="E277" s="164">
        <v>0</v>
      </c>
      <c r="F277" s="165">
        <v>0</v>
      </c>
      <c r="G277" s="165">
        <v>0</v>
      </c>
      <c r="H277" s="166">
        <v>0</v>
      </c>
      <c r="I277" s="167">
        <v>0</v>
      </c>
      <c r="J277" s="165">
        <v>0</v>
      </c>
      <c r="K277" s="168">
        <v>0</v>
      </c>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row>
    <row r="278" spans="1:38">
      <c r="A278" s="163">
        <v>276</v>
      </c>
      <c r="B278" s="182" t="s">
        <v>82</v>
      </c>
      <c r="C278" s="182" t="s">
        <v>1166</v>
      </c>
      <c r="D278" s="185" t="s">
        <v>1</v>
      </c>
      <c r="E278" s="164">
        <v>10</v>
      </c>
      <c r="F278" s="165">
        <v>6832</v>
      </c>
      <c r="G278" s="165">
        <v>1885</v>
      </c>
      <c r="H278" s="166">
        <v>0.2</v>
      </c>
      <c r="I278" s="167">
        <v>0.77927400468384078</v>
      </c>
      <c r="J278" s="165">
        <v>1508</v>
      </c>
      <c r="K278" s="168">
        <v>15080</v>
      </c>
      <c r="L278" s="71"/>
      <c r="M278" s="71"/>
      <c r="N278" s="91"/>
      <c r="O278" s="71"/>
      <c r="P278" s="71"/>
      <c r="Q278" s="71"/>
      <c r="R278" s="71"/>
      <c r="S278" s="71"/>
      <c r="T278" s="71"/>
      <c r="U278" s="71"/>
      <c r="V278" s="71"/>
      <c r="W278" s="71"/>
      <c r="X278" s="71"/>
      <c r="Y278" s="71"/>
      <c r="Z278" s="71"/>
      <c r="AA278" s="71"/>
      <c r="AB278" s="71"/>
      <c r="AC278" s="71"/>
      <c r="AD278" s="71"/>
      <c r="AE278" s="71"/>
      <c r="AF278" s="71"/>
      <c r="AG278" s="94"/>
      <c r="AH278" s="71"/>
      <c r="AI278" s="71"/>
      <c r="AJ278" s="71"/>
      <c r="AK278" s="71">
        <f>SUBTOTAL(9,L278:AJ278)</f>
        <v>0</v>
      </c>
      <c r="AL278" s="79">
        <f>+J278*AK278</f>
        <v>0</v>
      </c>
    </row>
    <row r="279" spans="1:38">
      <c r="A279" s="163">
        <v>277</v>
      </c>
      <c r="B279" s="182" t="s">
        <v>1167</v>
      </c>
      <c r="C279" s="182" t="s">
        <v>83</v>
      </c>
      <c r="D279" s="185" t="s">
        <v>1</v>
      </c>
      <c r="E279" s="164">
        <v>0</v>
      </c>
      <c r="F279" s="165">
        <v>0</v>
      </c>
      <c r="G279" s="165">
        <v>0</v>
      </c>
      <c r="H279" s="166">
        <v>0</v>
      </c>
      <c r="I279" s="167">
        <v>0</v>
      </c>
      <c r="J279" s="165">
        <v>0</v>
      </c>
      <c r="K279" s="168">
        <v>0</v>
      </c>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row>
    <row r="280" spans="1:38">
      <c r="A280" s="163">
        <v>278</v>
      </c>
      <c r="B280" s="182" t="s">
        <v>1168</v>
      </c>
      <c r="C280" s="182" t="s">
        <v>1169</v>
      </c>
      <c r="D280" s="185" t="s">
        <v>1</v>
      </c>
      <c r="E280" s="164">
        <v>0</v>
      </c>
      <c r="F280" s="165">
        <v>0</v>
      </c>
      <c r="G280" s="165">
        <v>0</v>
      </c>
      <c r="H280" s="166">
        <v>0</v>
      </c>
      <c r="I280" s="167">
        <v>0</v>
      </c>
      <c r="J280" s="165">
        <v>0</v>
      </c>
      <c r="K280" s="168">
        <v>0</v>
      </c>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row>
    <row r="281" spans="1:38">
      <c r="A281" s="163">
        <v>279</v>
      </c>
      <c r="B281" s="182" t="s">
        <v>1170</v>
      </c>
      <c r="C281" s="182" t="s">
        <v>1169</v>
      </c>
      <c r="D281" s="185" t="s">
        <v>1</v>
      </c>
      <c r="E281" s="164">
        <v>0</v>
      </c>
      <c r="F281" s="165">
        <v>0</v>
      </c>
      <c r="G281" s="165">
        <v>0</v>
      </c>
      <c r="H281" s="166">
        <v>0</v>
      </c>
      <c r="I281" s="167">
        <v>0</v>
      </c>
      <c r="J281" s="165">
        <v>0</v>
      </c>
      <c r="K281" s="168">
        <v>0</v>
      </c>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row>
    <row r="282" spans="1:38">
      <c r="A282" s="163">
        <v>280</v>
      </c>
      <c r="B282" s="182" t="s">
        <v>1171</v>
      </c>
      <c r="C282" s="182" t="s">
        <v>1172</v>
      </c>
      <c r="D282" s="185" t="s">
        <v>1</v>
      </c>
      <c r="E282" s="164">
        <v>5</v>
      </c>
      <c r="F282" s="165">
        <v>54035</v>
      </c>
      <c r="G282" s="165">
        <v>2508</v>
      </c>
      <c r="H282" s="166">
        <v>0.19999999999999996</v>
      </c>
      <c r="I282" s="167">
        <v>0.96286851115018046</v>
      </c>
      <c r="J282" s="165">
        <v>2006.4</v>
      </c>
      <c r="K282" s="168">
        <v>10032</v>
      </c>
      <c r="L282" s="77">
        <v>5</v>
      </c>
      <c r="M282" s="71"/>
      <c r="N282" s="91"/>
      <c r="O282" s="71"/>
      <c r="P282" s="71"/>
      <c r="Q282" s="71"/>
      <c r="R282" s="71"/>
      <c r="S282" s="71"/>
      <c r="T282" s="71"/>
      <c r="U282" s="71"/>
      <c r="V282" s="71"/>
      <c r="W282" s="71"/>
      <c r="X282" s="71"/>
      <c r="Y282" s="71"/>
      <c r="Z282" s="71"/>
      <c r="AA282" s="71"/>
      <c r="AB282" s="71"/>
      <c r="AC282" s="71"/>
      <c r="AD282" s="71"/>
      <c r="AE282" s="71"/>
      <c r="AF282" s="71"/>
      <c r="AG282" s="94"/>
      <c r="AH282" s="71"/>
      <c r="AI282" s="71"/>
      <c r="AJ282" s="71"/>
      <c r="AK282" s="71">
        <f>SUBTOTAL(9,L282:AJ282)</f>
        <v>5</v>
      </c>
      <c r="AL282" s="79">
        <f>+J282*AK282</f>
        <v>10032</v>
      </c>
    </row>
    <row r="283" spans="1:38">
      <c r="A283" s="163">
        <v>281</v>
      </c>
      <c r="B283" s="182" t="s">
        <v>1173</v>
      </c>
      <c r="C283" s="182" t="s">
        <v>1174</v>
      </c>
      <c r="D283" s="185" t="s">
        <v>1</v>
      </c>
      <c r="E283" s="164">
        <v>0</v>
      </c>
      <c r="F283" s="165">
        <v>0</v>
      </c>
      <c r="G283" s="165">
        <v>0</v>
      </c>
      <c r="H283" s="166">
        <v>0</v>
      </c>
      <c r="I283" s="167">
        <v>0</v>
      </c>
      <c r="J283" s="165">
        <v>0</v>
      </c>
      <c r="K283" s="168">
        <v>0</v>
      </c>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row>
    <row r="284" spans="1:38">
      <c r="A284" s="163">
        <v>282</v>
      </c>
      <c r="B284" s="182" t="s">
        <v>1175</v>
      </c>
      <c r="C284" s="182" t="s">
        <v>1174</v>
      </c>
      <c r="D284" s="185" t="s">
        <v>1</v>
      </c>
      <c r="E284" s="164">
        <v>0</v>
      </c>
      <c r="F284" s="165">
        <v>0</v>
      </c>
      <c r="G284" s="165">
        <v>0</v>
      </c>
      <c r="H284" s="166">
        <v>0</v>
      </c>
      <c r="I284" s="167">
        <v>0</v>
      </c>
      <c r="J284" s="165">
        <v>0</v>
      </c>
      <c r="K284" s="168">
        <v>0</v>
      </c>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row>
    <row r="285" spans="1:38">
      <c r="A285" s="163">
        <v>283</v>
      </c>
      <c r="B285" s="182" t="s">
        <v>84</v>
      </c>
      <c r="C285" s="182" t="s">
        <v>1176</v>
      </c>
      <c r="D285" s="185" t="s">
        <v>1</v>
      </c>
      <c r="E285" s="164">
        <v>70</v>
      </c>
      <c r="F285" s="165">
        <v>32697</v>
      </c>
      <c r="G285" s="165">
        <v>13258</v>
      </c>
      <c r="H285" s="166">
        <v>0.25</v>
      </c>
      <c r="I285" s="167">
        <v>0.69588953114964669</v>
      </c>
      <c r="J285" s="165">
        <v>9943.5</v>
      </c>
      <c r="K285" s="168">
        <v>696045</v>
      </c>
      <c r="L285" s="71"/>
      <c r="M285" s="71"/>
      <c r="N285" s="91"/>
      <c r="O285" s="71"/>
      <c r="P285" s="71"/>
      <c r="Q285" s="71"/>
      <c r="R285" s="71"/>
      <c r="S285" s="71"/>
      <c r="T285" s="71"/>
      <c r="U285" s="71"/>
      <c r="V285" s="71"/>
      <c r="W285" s="71"/>
      <c r="X285" s="71"/>
      <c r="Y285" s="71"/>
      <c r="Z285" s="71"/>
      <c r="AA285" s="71"/>
      <c r="AB285" s="71"/>
      <c r="AC285" s="71"/>
      <c r="AD285" s="71"/>
      <c r="AE285" s="71"/>
      <c r="AF285" s="71"/>
      <c r="AG285" s="94"/>
      <c r="AH285" s="71"/>
      <c r="AI285" s="71"/>
      <c r="AJ285" s="71"/>
      <c r="AK285" s="71">
        <f>SUBTOTAL(9,L285:AJ285)</f>
        <v>0</v>
      </c>
      <c r="AL285" s="79">
        <f>+J285*AK285</f>
        <v>0</v>
      </c>
    </row>
    <row r="286" spans="1:38">
      <c r="A286" s="163">
        <v>284</v>
      </c>
      <c r="B286" s="182" t="s">
        <v>1177</v>
      </c>
      <c r="C286" s="182" t="s">
        <v>85</v>
      </c>
      <c r="D286" s="185" t="s">
        <v>1</v>
      </c>
      <c r="E286" s="164">
        <v>0</v>
      </c>
      <c r="F286" s="165">
        <v>0</v>
      </c>
      <c r="G286" s="165">
        <v>0</v>
      </c>
      <c r="H286" s="166">
        <v>0</v>
      </c>
      <c r="I286" s="167">
        <v>0</v>
      </c>
      <c r="J286" s="165">
        <v>0</v>
      </c>
      <c r="K286" s="168">
        <v>0</v>
      </c>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row>
    <row r="287" spans="1:38">
      <c r="A287" s="163">
        <v>285</v>
      </c>
      <c r="B287" s="182" t="s">
        <v>1178</v>
      </c>
      <c r="C287" s="182" t="s">
        <v>1179</v>
      </c>
      <c r="D287" s="185" t="s">
        <v>1</v>
      </c>
      <c r="E287" s="164">
        <v>0</v>
      </c>
      <c r="F287" s="165">
        <v>0</v>
      </c>
      <c r="G287" s="165">
        <v>0</v>
      </c>
      <c r="H287" s="166">
        <v>0</v>
      </c>
      <c r="I287" s="167">
        <v>0</v>
      </c>
      <c r="J287" s="165">
        <v>0</v>
      </c>
      <c r="K287" s="168">
        <v>0</v>
      </c>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row>
    <row r="288" spans="1:38">
      <c r="A288" s="163">
        <v>286</v>
      </c>
      <c r="B288" s="182" t="s">
        <v>1180</v>
      </c>
      <c r="C288" s="182" t="s">
        <v>1179</v>
      </c>
      <c r="D288" s="185" t="s">
        <v>1</v>
      </c>
      <c r="E288" s="164">
        <v>0</v>
      </c>
      <c r="F288" s="165">
        <v>0</v>
      </c>
      <c r="G288" s="165">
        <v>0</v>
      </c>
      <c r="H288" s="166">
        <v>0</v>
      </c>
      <c r="I288" s="167">
        <v>0</v>
      </c>
      <c r="J288" s="165">
        <v>0</v>
      </c>
      <c r="K288" s="168">
        <v>0</v>
      </c>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row>
    <row r="289" spans="1:38">
      <c r="A289" s="163">
        <v>287</v>
      </c>
      <c r="B289" s="182" t="s">
        <v>86</v>
      </c>
      <c r="C289" s="182" t="s">
        <v>1181</v>
      </c>
      <c r="D289" s="185" t="s">
        <v>1</v>
      </c>
      <c r="E289" s="164">
        <v>43</v>
      </c>
      <c r="F289" s="165">
        <v>56864</v>
      </c>
      <c r="G289" s="165">
        <v>25874</v>
      </c>
      <c r="H289" s="166">
        <v>0.25</v>
      </c>
      <c r="I289" s="167">
        <v>0.65873839335959483</v>
      </c>
      <c r="J289" s="165">
        <v>19405.5</v>
      </c>
      <c r="K289" s="168">
        <v>834436.5</v>
      </c>
      <c r="L289" s="71"/>
      <c r="M289" s="71"/>
      <c r="N289" s="91"/>
      <c r="O289" s="71"/>
      <c r="P289" s="71"/>
      <c r="Q289" s="71"/>
      <c r="R289" s="71"/>
      <c r="S289" s="71"/>
      <c r="T289" s="71"/>
      <c r="U289" s="71"/>
      <c r="V289" s="71"/>
      <c r="W289" s="71"/>
      <c r="X289" s="71"/>
      <c r="Y289" s="71"/>
      <c r="Z289" s="71"/>
      <c r="AA289" s="71"/>
      <c r="AB289" s="71"/>
      <c r="AC289" s="71"/>
      <c r="AD289" s="71"/>
      <c r="AE289" s="71"/>
      <c r="AF289" s="71"/>
      <c r="AG289" s="94"/>
      <c r="AH289" s="71"/>
      <c r="AI289" s="71"/>
      <c r="AJ289" s="71"/>
      <c r="AK289" s="71">
        <f>SUBTOTAL(9,L289:AJ289)</f>
        <v>0</v>
      </c>
      <c r="AL289" s="79">
        <f>+J289*AK289</f>
        <v>0</v>
      </c>
    </row>
    <row r="290" spans="1:38">
      <c r="A290" s="163">
        <v>288</v>
      </c>
      <c r="B290" s="182" t="s">
        <v>1182</v>
      </c>
      <c r="C290" s="182" t="s">
        <v>87</v>
      </c>
      <c r="D290" s="185" t="s">
        <v>1</v>
      </c>
      <c r="E290" s="164">
        <v>0</v>
      </c>
      <c r="F290" s="165">
        <v>0</v>
      </c>
      <c r="G290" s="165">
        <v>0</v>
      </c>
      <c r="H290" s="166">
        <v>0</v>
      </c>
      <c r="I290" s="167">
        <v>0</v>
      </c>
      <c r="J290" s="165">
        <v>0</v>
      </c>
      <c r="K290" s="168">
        <v>0</v>
      </c>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row>
    <row r="291" spans="1:38">
      <c r="A291" s="163">
        <v>289</v>
      </c>
      <c r="B291" s="182" t="s">
        <v>1183</v>
      </c>
      <c r="C291" s="182" t="s">
        <v>1184</v>
      </c>
      <c r="D291" s="185" t="s">
        <v>1</v>
      </c>
      <c r="E291" s="164">
        <v>0</v>
      </c>
      <c r="F291" s="165">
        <v>0</v>
      </c>
      <c r="G291" s="165">
        <v>0</v>
      </c>
      <c r="H291" s="166">
        <v>0</v>
      </c>
      <c r="I291" s="167">
        <v>0</v>
      </c>
      <c r="J291" s="165">
        <v>0</v>
      </c>
      <c r="K291" s="168">
        <v>0</v>
      </c>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row>
    <row r="292" spans="1:38">
      <c r="A292" s="163">
        <v>290</v>
      </c>
      <c r="B292" s="182" t="s">
        <v>1185</v>
      </c>
      <c r="C292" s="182" t="s">
        <v>1184</v>
      </c>
      <c r="D292" s="185" t="s">
        <v>1</v>
      </c>
      <c r="E292" s="164">
        <v>0</v>
      </c>
      <c r="F292" s="165">
        <v>0</v>
      </c>
      <c r="G292" s="165">
        <v>0</v>
      </c>
      <c r="H292" s="166">
        <v>0</v>
      </c>
      <c r="I292" s="167">
        <v>0</v>
      </c>
      <c r="J292" s="165">
        <v>0</v>
      </c>
      <c r="K292" s="168">
        <v>0</v>
      </c>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row>
    <row r="293" spans="1:38">
      <c r="A293" s="163">
        <v>291</v>
      </c>
      <c r="B293" s="182" t="s">
        <v>88</v>
      </c>
      <c r="C293" s="182" t="s">
        <v>1186</v>
      </c>
      <c r="D293" s="185" t="s">
        <v>1</v>
      </c>
      <c r="E293" s="164">
        <v>37</v>
      </c>
      <c r="F293" s="165">
        <v>15354</v>
      </c>
      <c r="G293" s="165">
        <v>5810</v>
      </c>
      <c r="H293" s="166">
        <v>0.25</v>
      </c>
      <c r="I293" s="167">
        <v>0.71619773348964433</v>
      </c>
      <c r="J293" s="165">
        <v>4357.5</v>
      </c>
      <c r="K293" s="168">
        <v>161227.5</v>
      </c>
      <c r="L293" s="71"/>
      <c r="M293" s="71"/>
      <c r="N293" s="91"/>
      <c r="O293" s="71"/>
      <c r="P293" s="71"/>
      <c r="Q293" s="71"/>
      <c r="R293" s="71"/>
      <c r="S293" s="71"/>
      <c r="T293" s="71"/>
      <c r="U293" s="71"/>
      <c r="V293" s="71"/>
      <c r="W293" s="71"/>
      <c r="X293" s="71"/>
      <c r="Y293" s="71"/>
      <c r="Z293" s="71"/>
      <c r="AA293" s="71"/>
      <c r="AB293" s="71"/>
      <c r="AC293" s="71"/>
      <c r="AD293" s="71"/>
      <c r="AE293" s="71"/>
      <c r="AF293" s="71"/>
      <c r="AG293" s="94"/>
      <c r="AH293" s="71"/>
      <c r="AI293" s="71"/>
      <c r="AJ293" s="71"/>
      <c r="AK293" s="71">
        <f>SUBTOTAL(9,L293:AJ293)</f>
        <v>0</v>
      </c>
      <c r="AL293" s="79">
        <f>+J293*AK293</f>
        <v>0</v>
      </c>
    </row>
    <row r="294" spans="1:38">
      <c r="A294" s="163">
        <v>292</v>
      </c>
      <c r="B294" s="182" t="s">
        <v>1187</v>
      </c>
      <c r="C294" s="182" t="s">
        <v>89</v>
      </c>
      <c r="D294" s="185" t="s">
        <v>1</v>
      </c>
      <c r="E294" s="164">
        <v>0</v>
      </c>
      <c r="F294" s="165">
        <v>0</v>
      </c>
      <c r="G294" s="165">
        <v>0</v>
      </c>
      <c r="H294" s="166">
        <v>0</v>
      </c>
      <c r="I294" s="167">
        <v>0</v>
      </c>
      <c r="J294" s="165">
        <v>0</v>
      </c>
      <c r="K294" s="168">
        <v>0</v>
      </c>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row>
    <row r="295" spans="1:38">
      <c r="A295" s="163">
        <v>293</v>
      </c>
      <c r="B295" s="182" t="s">
        <v>1188</v>
      </c>
      <c r="C295" s="182" t="s">
        <v>1189</v>
      </c>
      <c r="D295" s="185" t="s">
        <v>1</v>
      </c>
      <c r="E295" s="164">
        <v>0</v>
      </c>
      <c r="F295" s="165">
        <v>0</v>
      </c>
      <c r="G295" s="165">
        <v>0</v>
      </c>
      <c r="H295" s="166">
        <v>0</v>
      </c>
      <c r="I295" s="167">
        <v>0</v>
      </c>
      <c r="J295" s="165">
        <v>0</v>
      </c>
      <c r="K295" s="168">
        <v>0</v>
      </c>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row>
    <row r="296" spans="1:38">
      <c r="A296" s="163">
        <v>294</v>
      </c>
      <c r="B296" s="182" t="s">
        <v>1190</v>
      </c>
      <c r="C296" s="182" t="s">
        <v>1189</v>
      </c>
      <c r="D296" s="185" t="s">
        <v>1</v>
      </c>
      <c r="E296" s="164">
        <v>0</v>
      </c>
      <c r="F296" s="165">
        <v>0</v>
      </c>
      <c r="G296" s="165">
        <v>0</v>
      </c>
      <c r="H296" s="166">
        <v>0</v>
      </c>
      <c r="I296" s="167">
        <v>0</v>
      </c>
      <c r="J296" s="165">
        <v>0</v>
      </c>
      <c r="K296" s="168">
        <v>0</v>
      </c>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row>
    <row r="297" spans="1:38">
      <c r="A297" s="163">
        <v>295</v>
      </c>
      <c r="B297" s="182" t="s">
        <v>1191</v>
      </c>
      <c r="C297" s="182" t="s">
        <v>1192</v>
      </c>
      <c r="D297" s="185" t="s">
        <v>1</v>
      </c>
      <c r="E297" s="164">
        <v>0</v>
      </c>
      <c r="F297" s="165">
        <v>0</v>
      </c>
      <c r="G297" s="165">
        <v>0</v>
      </c>
      <c r="H297" s="166">
        <v>0</v>
      </c>
      <c r="I297" s="167">
        <v>0</v>
      </c>
      <c r="J297" s="165">
        <v>0</v>
      </c>
      <c r="K297" s="168">
        <v>0</v>
      </c>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row>
    <row r="298" spans="1:38">
      <c r="A298" s="163">
        <v>296</v>
      </c>
      <c r="B298" s="182" t="s">
        <v>1193</v>
      </c>
      <c r="C298" s="182" t="s">
        <v>1192</v>
      </c>
      <c r="D298" s="185" t="s">
        <v>1</v>
      </c>
      <c r="E298" s="164">
        <v>0</v>
      </c>
      <c r="F298" s="165">
        <v>0</v>
      </c>
      <c r="G298" s="165">
        <v>0</v>
      </c>
      <c r="H298" s="166">
        <v>0</v>
      </c>
      <c r="I298" s="167">
        <v>0</v>
      </c>
      <c r="J298" s="165">
        <v>0</v>
      </c>
      <c r="K298" s="168">
        <v>0</v>
      </c>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row>
    <row r="299" spans="1:38">
      <c r="A299" s="163">
        <v>297</v>
      </c>
      <c r="B299" s="182" t="s">
        <v>90</v>
      </c>
      <c r="C299" s="182" t="s">
        <v>1194</v>
      </c>
      <c r="D299" s="185" t="s">
        <v>1</v>
      </c>
      <c r="E299" s="164">
        <v>8</v>
      </c>
      <c r="F299" s="165">
        <v>29853</v>
      </c>
      <c r="G299" s="165">
        <v>9005</v>
      </c>
      <c r="H299" s="166">
        <v>0.2</v>
      </c>
      <c r="I299" s="167">
        <v>0.7586842193414397</v>
      </c>
      <c r="J299" s="165">
        <v>7204</v>
      </c>
      <c r="K299" s="168">
        <v>57632</v>
      </c>
      <c r="L299" s="71"/>
      <c r="M299" s="71"/>
      <c r="N299" s="91"/>
      <c r="O299" s="71"/>
      <c r="P299" s="71"/>
      <c r="Q299" s="71"/>
      <c r="R299" s="71"/>
      <c r="S299" s="71"/>
      <c r="T299" s="71"/>
      <c r="U299" s="71"/>
      <c r="V299" s="71"/>
      <c r="W299" s="71"/>
      <c r="X299" s="71"/>
      <c r="Y299" s="71"/>
      <c r="Z299" s="71"/>
      <c r="AA299" s="71"/>
      <c r="AB299" s="71"/>
      <c r="AC299" s="71"/>
      <c r="AD299" s="71"/>
      <c r="AE299" s="71"/>
      <c r="AF299" s="71"/>
      <c r="AG299" s="94"/>
      <c r="AH299" s="71"/>
      <c r="AI299" s="71"/>
      <c r="AJ299" s="71"/>
      <c r="AK299" s="71">
        <f>SUBTOTAL(9,L299:AJ299)</f>
        <v>0</v>
      </c>
      <c r="AL299" s="79">
        <f>+J299*AK299</f>
        <v>0</v>
      </c>
    </row>
    <row r="300" spans="1:38">
      <c r="A300" s="163">
        <v>298</v>
      </c>
      <c r="B300" s="182" t="s">
        <v>1195</v>
      </c>
      <c r="C300" s="182" t="s">
        <v>91</v>
      </c>
      <c r="D300" s="185" t="s">
        <v>1</v>
      </c>
      <c r="E300" s="164">
        <v>0</v>
      </c>
      <c r="F300" s="165">
        <v>0</v>
      </c>
      <c r="G300" s="165">
        <v>0</v>
      </c>
      <c r="H300" s="166">
        <v>0</v>
      </c>
      <c r="I300" s="167">
        <v>0</v>
      </c>
      <c r="J300" s="165">
        <v>0</v>
      </c>
      <c r="K300" s="168">
        <v>0</v>
      </c>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row>
    <row r="301" spans="1:38">
      <c r="A301" s="163">
        <v>299</v>
      </c>
      <c r="B301" s="182" t="s">
        <v>1196</v>
      </c>
      <c r="C301" s="182" t="s">
        <v>1197</v>
      </c>
      <c r="D301" s="185" t="s">
        <v>1</v>
      </c>
      <c r="E301" s="164">
        <v>0</v>
      </c>
      <c r="F301" s="165">
        <v>0</v>
      </c>
      <c r="G301" s="165">
        <v>0</v>
      </c>
      <c r="H301" s="166">
        <v>0</v>
      </c>
      <c r="I301" s="167">
        <v>0</v>
      </c>
      <c r="J301" s="165">
        <v>0</v>
      </c>
      <c r="K301" s="168">
        <v>0</v>
      </c>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row>
    <row r="302" spans="1:38">
      <c r="A302" s="163">
        <v>300</v>
      </c>
      <c r="B302" s="182" t="s">
        <v>1198</v>
      </c>
      <c r="C302" s="182" t="s">
        <v>1197</v>
      </c>
      <c r="D302" s="185" t="s">
        <v>1</v>
      </c>
      <c r="E302" s="164">
        <v>0</v>
      </c>
      <c r="F302" s="165">
        <v>0</v>
      </c>
      <c r="G302" s="165">
        <v>0</v>
      </c>
      <c r="H302" s="166">
        <v>0</v>
      </c>
      <c r="I302" s="167">
        <v>0</v>
      </c>
      <c r="J302" s="165">
        <v>0</v>
      </c>
      <c r="K302" s="168">
        <v>0</v>
      </c>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row>
    <row r="303" spans="1:38">
      <c r="A303" s="163">
        <v>301</v>
      </c>
      <c r="B303" s="182" t="s">
        <v>92</v>
      </c>
      <c r="C303" s="182" t="s">
        <v>1199</v>
      </c>
      <c r="D303" s="185" t="s">
        <v>1</v>
      </c>
      <c r="E303" s="164">
        <v>2</v>
      </c>
      <c r="F303" s="165">
        <v>12083</v>
      </c>
      <c r="G303" s="165">
        <v>3584</v>
      </c>
      <c r="H303" s="166">
        <v>0.20000000000000004</v>
      </c>
      <c r="I303" s="167">
        <v>0.7627079367706695</v>
      </c>
      <c r="J303" s="165">
        <v>2867.2</v>
      </c>
      <c r="K303" s="168">
        <v>5734.4</v>
      </c>
      <c r="L303" s="71"/>
      <c r="M303" s="71"/>
      <c r="N303" s="91"/>
      <c r="O303" s="71"/>
      <c r="P303" s="71"/>
      <c r="Q303" s="71"/>
      <c r="R303" s="71"/>
      <c r="S303" s="71"/>
      <c r="T303" s="71"/>
      <c r="U303" s="71"/>
      <c r="V303" s="71"/>
      <c r="W303" s="71"/>
      <c r="X303" s="71"/>
      <c r="Y303" s="71"/>
      <c r="Z303" s="71"/>
      <c r="AA303" s="71"/>
      <c r="AB303" s="71"/>
      <c r="AC303" s="71"/>
      <c r="AD303" s="71"/>
      <c r="AE303" s="71"/>
      <c r="AF303" s="71"/>
      <c r="AG303" s="94"/>
      <c r="AH303" s="71"/>
      <c r="AI303" s="71"/>
      <c r="AJ303" s="71"/>
      <c r="AK303" s="71">
        <f>SUBTOTAL(9,L303:AJ303)</f>
        <v>0</v>
      </c>
      <c r="AL303" s="79">
        <f>+J303*AK303</f>
        <v>0</v>
      </c>
    </row>
    <row r="304" spans="1:38">
      <c r="A304" s="163">
        <v>302</v>
      </c>
      <c r="B304" s="182" t="s">
        <v>1200</v>
      </c>
      <c r="C304" s="182" t="s">
        <v>93</v>
      </c>
      <c r="D304" s="185" t="s">
        <v>1</v>
      </c>
      <c r="E304" s="164">
        <v>0</v>
      </c>
      <c r="F304" s="165">
        <v>0</v>
      </c>
      <c r="G304" s="165">
        <v>0</v>
      </c>
      <c r="H304" s="166">
        <v>0</v>
      </c>
      <c r="I304" s="167">
        <v>0</v>
      </c>
      <c r="J304" s="165">
        <v>0</v>
      </c>
      <c r="K304" s="168">
        <v>0</v>
      </c>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row>
    <row r="305" spans="1:38">
      <c r="A305" s="163">
        <v>303</v>
      </c>
      <c r="B305" s="182" t="s">
        <v>94</v>
      </c>
      <c r="C305" s="182" t="s">
        <v>1201</v>
      </c>
      <c r="D305" s="185" t="s">
        <v>1</v>
      </c>
      <c r="E305" s="164">
        <v>1</v>
      </c>
      <c r="F305" s="165">
        <v>17770</v>
      </c>
      <c r="G305" s="165">
        <v>10043</v>
      </c>
      <c r="H305" s="166">
        <v>0.20000000000000004</v>
      </c>
      <c r="I305" s="167">
        <v>0.54786719189645472</v>
      </c>
      <c r="J305" s="165">
        <v>8034.4</v>
      </c>
      <c r="K305" s="168">
        <v>8034.4</v>
      </c>
      <c r="L305" s="71"/>
      <c r="M305" s="71"/>
      <c r="N305" s="91"/>
      <c r="O305" s="71"/>
      <c r="P305" s="71"/>
      <c r="Q305" s="71"/>
      <c r="R305" s="71"/>
      <c r="S305" s="71"/>
      <c r="T305" s="71"/>
      <c r="U305" s="71"/>
      <c r="V305" s="71"/>
      <c r="W305" s="71"/>
      <c r="X305" s="71"/>
      <c r="Y305" s="71"/>
      <c r="Z305" s="71"/>
      <c r="AA305" s="71"/>
      <c r="AB305" s="71"/>
      <c r="AC305" s="71"/>
      <c r="AD305" s="71"/>
      <c r="AE305" s="71"/>
      <c r="AF305" s="71"/>
      <c r="AG305" s="94"/>
      <c r="AH305" s="71"/>
      <c r="AI305" s="71"/>
      <c r="AJ305" s="71"/>
      <c r="AK305" s="71">
        <f>SUBTOTAL(9,L305:AJ305)</f>
        <v>0</v>
      </c>
      <c r="AL305" s="79">
        <f>+J305*AK305</f>
        <v>0</v>
      </c>
    </row>
    <row r="306" spans="1:38">
      <c r="A306" s="163">
        <v>304</v>
      </c>
      <c r="B306" s="182" t="s">
        <v>1202</v>
      </c>
      <c r="C306" s="182" t="s">
        <v>95</v>
      </c>
      <c r="D306" s="185" t="s">
        <v>1</v>
      </c>
      <c r="E306" s="164">
        <v>0</v>
      </c>
      <c r="F306" s="165">
        <v>0</v>
      </c>
      <c r="G306" s="165">
        <v>0</v>
      </c>
      <c r="H306" s="166">
        <v>0</v>
      </c>
      <c r="I306" s="167">
        <v>0</v>
      </c>
      <c r="J306" s="165">
        <v>0</v>
      </c>
      <c r="K306" s="168">
        <v>0</v>
      </c>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row>
    <row r="307" spans="1:38">
      <c r="A307" s="163">
        <v>305</v>
      </c>
      <c r="B307" s="182" t="s">
        <v>1203</v>
      </c>
      <c r="C307" s="182" t="s">
        <v>1204</v>
      </c>
      <c r="D307" s="185" t="s">
        <v>1</v>
      </c>
      <c r="E307" s="164">
        <v>0</v>
      </c>
      <c r="F307" s="165">
        <v>0</v>
      </c>
      <c r="G307" s="165">
        <v>0</v>
      </c>
      <c r="H307" s="166">
        <v>0</v>
      </c>
      <c r="I307" s="167">
        <v>0</v>
      </c>
      <c r="J307" s="165">
        <v>0</v>
      </c>
      <c r="K307" s="168">
        <v>0</v>
      </c>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row>
    <row r="308" spans="1:38">
      <c r="A308" s="163">
        <v>306</v>
      </c>
      <c r="B308" s="182" t="s">
        <v>1205</v>
      </c>
      <c r="C308" s="182" t="s">
        <v>1206</v>
      </c>
      <c r="D308" s="185" t="s">
        <v>1</v>
      </c>
      <c r="E308" s="164">
        <v>0</v>
      </c>
      <c r="F308" s="165">
        <v>0</v>
      </c>
      <c r="G308" s="165">
        <v>0</v>
      </c>
      <c r="H308" s="166">
        <v>0</v>
      </c>
      <c r="I308" s="167">
        <v>0</v>
      </c>
      <c r="J308" s="165">
        <v>0</v>
      </c>
      <c r="K308" s="168">
        <v>0</v>
      </c>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row>
    <row r="309" spans="1:38">
      <c r="A309" s="163">
        <v>307</v>
      </c>
      <c r="B309" s="182" t="s">
        <v>1207</v>
      </c>
      <c r="C309" s="182" t="s">
        <v>1208</v>
      </c>
      <c r="D309" s="185" t="s">
        <v>1</v>
      </c>
      <c r="E309" s="164">
        <v>0</v>
      </c>
      <c r="F309" s="165">
        <v>0</v>
      </c>
      <c r="G309" s="165">
        <v>0</v>
      </c>
      <c r="H309" s="166">
        <v>0</v>
      </c>
      <c r="I309" s="167">
        <v>0</v>
      </c>
      <c r="J309" s="165">
        <v>0</v>
      </c>
      <c r="K309" s="168">
        <v>0</v>
      </c>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row>
    <row r="310" spans="1:38">
      <c r="A310" s="163">
        <v>308</v>
      </c>
      <c r="B310" s="182" t="s">
        <v>1209</v>
      </c>
      <c r="C310" s="182" t="s">
        <v>1210</v>
      </c>
      <c r="D310" s="185" t="s">
        <v>1</v>
      </c>
      <c r="E310" s="164">
        <v>0</v>
      </c>
      <c r="F310" s="165">
        <v>0</v>
      </c>
      <c r="G310" s="165">
        <v>0</v>
      </c>
      <c r="H310" s="166">
        <v>0</v>
      </c>
      <c r="I310" s="167">
        <v>0</v>
      </c>
      <c r="J310" s="165">
        <v>0</v>
      </c>
      <c r="K310" s="168">
        <v>0</v>
      </c>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row>
    <row r="311" spans="1:38">
      <c r="A311" s="163">
        <v>309</v>
      </c>
      <c r="B311" s="182" t="s">
        <v>1211</v>
      </c>
      <c r="C311" s="182" t="s">
        <v>1212</v>
      </c>
      <c r="D311" s="185" t="s">
        <v>1</v>
      </c>
      <c r="E311" s="164">
        <v>0</v>
      </c>
      <c r="F311" s="165">
        <v>0</v>
      </c>
      <c r="G311" s="165">
        <v>0</v>
      </c>
      <c r="H311" s="166">
        <v>0</v>
      </c>
      <c r="I311" s="167">
        <v>0</v>
      </c>
      <c r="J311" s="165">
        <v>0</v>
      </c>
      <c r="K311" s="168">
        <v>0</v>
      </c>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row>
    <row r="312" spans="1:38">
      <c r="A312" s="163">
        <v>310</v>
      </c>
      <c r="B312" s="182" t="s">
        <v>1213</v>
      </c>
      <c r="C312" s="182" t="s">
        <v>1214</v>
      </c>
      <c r="D312" s="185" t="s">
        <v>1</v>
      </c>
      <c r="E312" s="164">
        <v>0</v>
      </c>
      <c r="F312" s="165">
        <v>0</v>
      </c>
      <c r="G312" s="165">
        <v>0</v>
      </c>
      <c r="H312" s="166">
        <v>0</v>
      </c>
      <c r="I312" s="167">
        <v>0</v>
      </c>
      <c r="J312" s="165">
        <v>0</v>
      </c>
      <c r="K312" s="168">
        <v>0</v>
      </c>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row>
    <row r="313" spans="1:38">
      <c r="A313" s="163">
        <v>311</v>
      </c>
      <c r="B313" s="182" t="s">
        <v>1215</v>
      </c>
      <c r="C313" s="182" t="s">
        <v>1216</v>
      </c>
      <c r="D313" s="185" t="s">
        <v>1</v>
      </c>
      <c r="E313" s="164">
        <v>0</v>
      </c>
      <c r="F313" s="165">
        <v>0</v>
      </c>
      <c r="G313" s="165">
        <v>0</v>
      </c>
      <c r="H313" s="166">
        <v>0</v>
      </c>
      <c r="I313" s="167">
        <v>0</v>
      </c>
      <c r="J313" s="165">
        <v>0</v>
      </c>
      <c r="K313" s="168">
        <v>0</v>
      </c>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row>
    <row r="314" spans="1:38">
      <c r="A314" s="163">
        <v>312</v>
      </c>
      <c r="B314" s="182" t="s">
        <v>1217</v>
      </c>
      <c r="C314" s="182" t="s">
        <v>1218</v>
      </c>
      <c r="D314" s="185" t="s">
        <v>1</v>
      </c>
      <c r="E314" s="164">
        <v>0</v>
      </c>
      <c r="F314" s="165">
        <v>0</v>
      </c>
      <c r="G314" s="165">
        <v>0</v>
      </c>
      <c r="H314" s="166">
        <v>0</v>
      </c>
      <c r="I314" s="167">
        <v>0</v>
      </c>
      <c r="J314" s="165">
        <v>0</v>
      </c>
      <c r="K314" s="168">
        <v>0</v>
      </c>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row>
    <row r="315" spans="1:38">
      <c r="A315" s="163">
        <v>313</v>
      </c>
      <c r="B315" s="182" t="s">
        <v>1219</v>
      </c>
      <c r="C315" s="182" t="s">
        <v>1220</v>
      </c>
      <c r="D315" s="185" t="s">
        <v>1</v>
      </c>
      <c r="E315" s="164">
        <v>0</v>
      </c>
      <c r="F315" s="165">
        <v>0</v>
      </c>
      <c r="G315" s="165">
        <v>0</v>
      </c>
      <c r="H315" s="166">
        <v>0</v>
      </c>
      <c r="I315" s="167">
        <v>0</v>
      </c>
      <c r="J315" s="165">
        <v>0</v>
      </c>
      <c r="K315" s="168">
        <v>0</v>
      </c>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row>
    <row r="316" spans="1:38">
      <c r="A316" s="163">
        <v>314</v>
      </c>
      <c r="B316" s="182" t="s">
        <v>1221</v>
      </c>
      <c r="C316" s="182" t="s">
        <v>1222</v>
      </c>
      <c r="D316" s="185" t="s">
        <v>1</v>
      </c>
      <c r="E316" s="164">
        <v>0</v>
      </c>
      <c r="F316" s="165">
        <v>0</v>
      </c>
      <c r="G316" s="165">
        <v>0</v>
      </c>
      <c r="H316" s="166">
        <v>0</v>
      </c>
      <c r="I316" s="167">
        <v>0</v>
      </c>
      <c r="J316" s="165">
        <v>0</v>
      </c>
      <c r="K316" s="168">
        <v>0</v>
      </c>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row>
    <row r="317" spans="1:38">
      <c r="A317" s="163">
        <v>315</v>
      </c>
      <c r="B317" s="182" t="s">
        <v>1223</v>
      </c>
      <c r="C317" s="182" t="s">
        <v>1224</v>
      </c>
      <c r="D317" s="185" t="s">
        <v>1</v>
      </c>
      <c r="E317" s="164">
        <v>0</v>
      </c>
      <c r="F317" s="165">
        <v>0</v>
      </c>
      <c r="G317" s="165">
        <v>0</v>
      </c>
      <c r="H317" s="166">
        <v>0</v>
      </c>
      <c r="I317" s="167">
        <v>0</v>
      </c>
      <c r="J317" s="165">
        <v>0</v>
      </c>
      <c r="K317" s="168">
        <v>0</v>
      </c>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row>
    <row r="318" spans="1:38">
      <c r="A318" s="163">
        <v>316</v>
      </c>
      <c r="B318" s="182" t="s">
        <v>1225</v>
      </c>
      <c r="C318" s="182" t="s">
        <v>1226</v>
      </c>
      <c r="D318" s="185" t="s">
        <v>1</v>
      </c>
      <c r="E318" s="164">
        <v>0</v>
      </c>
      <c r="F318" s="165">
        <v>0</v>
      </c>
      <c r="G318" s="165">
        <v>0</v>
      </c>
      <c r="H318" s="166">
        <v>0</v>
      </c>
      <c r="I318" s="167">
        <v>0</v>
      </c>
      <c r="J318" s="165">
        <v>0</v>
      </c>
      <c r="K318" s="168">
        <v>0</v>
      </c>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row>
    <row r="319" spans="1:38">
      <c r="A319" s="163">
        <v>317</v>
      </c>
      <c r="B319" s="182" t="s">
        <v>1227</v>
      </c>
      <c r="C319" s="182" t="s">
        <v>1228</v>
      </c>
      <c r="D319" s="185" t="s">
        <v>1</v>
      </c>
      <c r="E319" s="164">
        <v>0</v>
      </c>
      <c r="F319" s="165">
        <v>0</v>
      </c>
      <c r="G319" s="165">
        <v>0</v>
      </c>
      <c r="H319" s="166">
        <v>0</v>
      </c>
      <c r="I319" s="167">
        <v>0</v>
      </c>
      <c r="J319" s="165">
        <v>0</v>
      </c>
      <c r="K319" s="168">
        <v>0</v>
      </c>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row>
    <row r="320" spans="1:38">
      <c r="A320" s="163">
        <v>318</v>
      </c>
      <c r="B320" s="182" t="s">
        <v>1229</v>
      </c>
      <c r="C320" s="182" t="s">
        <v>1230</v>
      </c>
      <c r="D320" s="185" t="s">
        <v>1</v>
      </c>
      <c r="E320" s="164">
        <v>0</v>
      </c>
      <c r="F320" s="165">
        <v>0</v>
      </c>
      <c r="G320" s="165">
        <v>0</v>
      </c>
      <c r="H320" s="166">
        <v>0</v>
      </c>
      <c r="I320" s="167">
        <v>0</v>
      </c>
      <c r="J320" s="165">
        <v>0</v>
      </c>
      <c r="K320" s="168">
        <v>0</v>
      </c>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row>
    <row r="321" spans="1:38">
      <c r="A321" s="163">
        <v>319</v>
      </c>
      <c r="B321" s="182" t="s">
        <v>1231</v>
      </c>
      <c r="C321" s="182" t="s">
        <v>1232</v>
      </c>
      <c r="D321" s="185" t="s">
        <v>1</v>
      </c>
      <c r="E321" s="164">
        <v>0</v>
      </c>
      <c r="F321" s="165">
        <v>0</v>
      </c>
      <c r="G321" s="165">
        <v>0</v>
      </c>
      <c r="H321" s="166">
        <v>0</v>
      </c>
      <c r="I321" s="167">
        <v>0</v>
      </c>
      <c r="J321" s="165">
        <v>0</v>
      </c>
      <c r="K321" s="168">
        <v>0</v>
      </c>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row>
    <row r="322" spans="1:38">
      <c r="A322" s="163">
        <v>320</v>
      </c>
      <c r="B322" s="182" t="s">
        <v>1233</v>
      </c>
      <c r="C322" s="182" t="s">
        <v>1234</v>
      </c>
      <c r="D322" s="185" t="s">
        <v>1</v>
      </c>
      <c r="E322" s="164">
        <v>0</v>
      </c>
      <c r="F322" s="165">
        <v>0</v>
      </c>
      <c r="G322" s="165">
        <v>0</v>
      </c>
      <c r="H322" s="166">
        <v>0</v>
      </c>
      <c r="I322" s="167">
        <v>0</v>
      </c>
      <c r="J322" s="165">
        <v>0</v>
      </c>
      <c r="K322" s="168">
        <v>0</v>
      </c>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row>
    <row r="323" spans="1:38">
      <c r="A323" s="163">
        <v>321</v>
      </c>
      <c r="B323" s="182" t="s">
        <v>1235</v>
      </c>
      <c r="C323" s="182" t="s">
        <v>1236</v>
      </c>
      <c r="D323" s="185" t="s">
        <v>1</v>
      </c>
      <c r="E323" s="164">
        <v>0</v>
      </c>
      <c r="F323" s="165">
        <v>0</v>
      </c>
      <c r="G323" s="165">
        <v>0</v>
      </c>
      <c r="H323" s="166">
        <v>0</v>
      </c>
      <c r="I323" s="167">
        <v>0</v>
      </c>
      <c r="J323" s="165">
        <v>0</v>
      </c>
      <c r="K323" s="168">
        <v>0</v>
      </c>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row>
    <row r="324" spans="1:38">
      <c r="A324" s="163">
        <v>322</v>
      </c>
      <c r="B324" s="182" t="s">
        <v>1237</v>
      </c>
      <c r="C324" s="182" t="s">
        <v>1238</v>
      </c>
      <c r="D324" s="185" t="s">
        <v>1</v>
      </c>
      <c r="E324" s="164">
        <v>0</v>
      </c>
      <c r="F324" s="165">
        <v>0</v>
      </c>
      <c r="G324" s="165">
        <v>0</v>
      </c>
      <c r="H324" s="166">
        <v>0</v>
      </c>
      <c r="I324" s="167">
        <v>0</v>
      </c>
      <c r="J324" s="165">
        <v>0</v>
      </c>
      <c r="K324" s="168">
        <v>0</v>
      </c>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row>
    <row r="325" spans="1:38">
      <c r="A325" s="163">
        <v>323</v>
      </c>
      <c r="B325" s="182" t="s">
        <v>1239</v>
      </c>
      <c r="C325" s="182" t="s">
        <v>1240</v>
      </c>
      <c r="D325" s="185" t="s">
        <v>1</v>
      </c>
      <c r="E325" s="164">
        <v>0</v>
      </c>
      <c r="F325" s="165">
        <v>0</v>
      </c>
      <c r="G325" s="165">
        <v>0</v>
      </c>
      <c r="H325" s="166">
        <v>0</v>
      </c>
      <c r="I325" s="167">
        <v>0</v>
      </c>
      <c r="J325" s="165">
        <v>0</v>
      </c>
      <c r="K325" s="168">
        <v>0</v>
      </c>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row>
    <row r="326" spans="1:38">
      <c r="A326" s="163">
        <v>324</v>
      </c>
      <c r="B326" s="182" t="s">
        <v>1241</v>
      </c>
      <c r="C326" s="182" t="s">
        <v>1242</v>
      </c>
      <c r="D326" s="185" t="s">
        <v>1</v>
      </c>
      <c r="E326" s="164">
        <v>0</v>
      </c>
      <c r="F326" s="165">
        <v>0</v>
      </c>
      <c r="G326" s="165">
        <v>0</v>
      </c>
      <c r="H326" s="166">
        <v>0</v>
      </c>
      <c r="I326" s="167">
        <v>0</v>
      </c>
      <c r="J326" s="165">
        <v>0</v>
      </c>
      <c r="K326" s="168">
        <v>0</v>
      </c>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row>
    <row r="327" spans="1:38">
      <c r="A327" s="163">
        <v>325</v>
      </c>
      <c r="B327" s="182" t="s">
        <v>1243</v>
      </c>
      <c r="C327" s="182" t="s">
        <v>1244</v>
      </c>
      <c r="D327" s="185" t="s">
        <v>1</v>
      </c>
      <c r="E327" s="164">
        <v>0</v>
      </c>
      <c r="F327" s="165">
        <v>0</v>
      </c>
      <c r="G327" s="165">
        <v>0</v>
      </c>
      <c r="H327" s="166">
        <v>0</v>
      </c>
      <c r="I327" s="167">
        <v>0</v>
      </c>
      <c r="J327" s="165">
        <v>0</v>
      </c>
      <c r="K327" s="168">
        <v>0</v>
      </c>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row>
    <row r="328" spans="1:38">
      <c r="A328" s="163">
        <v>326</v>
      </c>
      <c r="B328" s="182" t="s">
        <v>1245</v>
      </c>
      <c r="C328" s="182" t="s">
        <v>1246</v>
      </c>
      <c r="D328" s="185" t="s">
        <v>1</v>
      </c>
      <c r="E328" s="164">
        <v>0</v>
      </c>
      <c r="F328" s="165">
        <v>0</v>
      </c>
      <c r="G328" s="165">
        <v>0</v>
      </c>
      <c r="H328" s="166">
        <v>0</v>
      </c>
      <c r="I328" s="167">
        <v>0</v>
      </c>
      <c r="J328" s="165">
        <v>0</v>
      </c>
      <c r="K328" s="168">
        <v>0</v>
      </c>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row>
    <row r="329" spans="1:38">
      <c r="A329" s="163">
        <v>327</v>
      </c>
      <c r="B329" s="182" t="s">
        <v>1247</v>
      </c>
      <c r="C329" s="182" t="s">
        <v>1248</v>
      </c>
      <c r="D329" s="185" t="s">
        <v>1</v>
      </c>
      <c r="E329" s="164">
        <v>0</v>
      </c>
      <c r="F329" s="165">
        <v>0</v>
      </c>
      <c r="G329" s="165">
        <v>0</v>
      </c>
      <c r="H329" s="166">
        <v>0</v>
      </c>
      <c r="I329" s="167">
        <v>0</v>
      </c>
      <c r="J329" s="165">
        <v>0</v>
      </c>
      <c r="K329" s="168">
        <v>0</v>
      </c>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row>
    <row r="330" spans="1:38">
      <c r="A330" s="163">
        <v>328</v>
      </c>
      <c r="B330" s="182" t="s">
        <v>1249</v>
      </c>
      <c r="C330" s="182" t="s">
        <v>1250</v>
      </c>
      <c r="D330" s="185" t="s">
        <v>1</v>
      </c>
      <c r="E330" s="164">
        <v>0</v>
      </c>
      <c r="F330" s="165">
        <v>0</v>
      </c>
      <c r="G330" s="165">
        <v>0</v>
      </c>
      <c r="H330" s="166">
        <v>0</v>
      </c>
      <c r="I330" s="167">
        <v>0</v>
      </c>
      <c r="J330" s="165">
        <v>0</v>
      </c>
      <c r="K330" s="168">
        <v>0</v>
      </c>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row>
    <row r="331" spans="1:38">
      <c r="A331" s="163">
        <v>329</v>
      </c>
      <c r="B331" s="182" t="s">
        <v>1251</v>
      </c>
      <c r="C331" s="182" t="s">
        <v>1252</v>
      </c>
      <c r="D331" s="185" t="s">
        <v>1</v>
      </c>
      <c r="E331" s="164">
        <v>0</v>
      </c>
      <c r="F331" s="165">
        <v>0</v>
      </c>
      <c r="G331" s="165">
        <v>0</v>
      </c>
      <c r="H331" s="166">
        <v>0</v>
      </c>
      <c r="I331" s="167">
        <v>0</v>
      </c>
      <c r="J331" s="165">
        <v>0</v>
      </c>
      <c r="K331" s="168">
        <v>0</v>
      </c>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row>
    <row r="332" spans="1:38">
      <c r="A332" s="163">
        <v>330</v>
      </c>
      <c r="B332" s="182" t="s">
        <v>1253</v>
      </c>
      <c r="C332" s="182" t="s">
        <v>1254</v>
      </c>
      <c r="D332" s="185" t="s">
        <v>1</v>
      </c>
      <c r="E332" s="164">
        <v>0</v>
      </c>
      <c r="F332" s="165">
        <v>0</v>
      </c>
      <c r="G332" s="165">
        <v>0</v>
      </c>
      <c r="H332" s="166">
        <v>0</v>
      </c>
      <c r="I332" s="167">
        <v>0</v>
      </c>
      <c r="J332" s="165">
        <v>0</v>
      </c>
      <c r="K332" s="168">
        <v>0</v>
      </c>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row>
    <row r="333" spans="1:38">
      <c r="A333" s="163">
        <v>331</v>
      </c>
      <c r="B333" s="182" t="s">
        <v>1255</v>
      </c>
      <c r="C333" s="182" t="s">
        <v>1256</v>
      </c>
      <c r="D333" s="185" t="s">
        <v>1</v>
      </c>
      <c r="E333" s="164">
        <v>0</v>
      </c>
      <c r="F333" s="165">
        <v>0</v>
      </c>
      <c r="G333" s="165">
        <v>0</v>
      </c>
      <c r="H333" s="166">
        <v>0</v>
      </c>
      <c r="I333" s="167">
        <v>0</v>
      </c>
      <c r="J333" s="165">
        <v>0</v>
      </c>
      <c r="K333" s="168">
        <v>0</v>
      </c>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row>
    <row r="334" spans="1:38">
      <c r="A334" s="163">
        <v>332</v>
      </c>
      <c r="B334" s="182" t="s">
        <v>1257</v>
      </c>
      <c r="C334" s="182" t="s">
        <v>1258</v>
      </c>
      <c r="D334" s="185" t="s">
        <v>1</v>
      </c>
      <c r="E334" s="164">
        <v>0</v>
      </c>
      <c r="F334" s="165">
        <v>0</v>
      </c>
      <c r="G334" s="165">
        <v>0</v>
      </c>
      <c r="H334" s="166">
        <v>0</v>
      </c>
      <c r="I334" s="167">
        <v>0</v>
      </c>
      <c r="J334" s="165">
        <v>0</v>
      </c>
      <c r="K334" s="168">
        <v>0</v>
      </c>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row>
    <row r="335" spans="1:38">
      <c r="A335" s="163">
        <v>333</v>
      </c>
      <c r="B335" s="182" t="s">
        <v>1259</v>
      </c>
      <c r="C335" s="182" t="s">
        <v>1260</v>
      </c>
      <c r="D335" s="185" t="s">
        <v>1</v>
      </c>
      <c r="E335" s="164">
        <v>0</v>
      </c>
      <c r="F335" s="165">
        <v>0</v>
      </c>
      <c r="G335" s="165">
        <v>0</v>
      </c>
      <c r="H335" s="166">
        <v>0</v>
      </c>
      <c r="I335" s="167">
        <v>0</v>
      </c>
      <c r="J335" s="165">
        <v>0</v>
      </c>
      <c r="K335" s="168">
        <v>0</v>
      </c>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row>
    <row r="336" spans="1:38">
      <c r="A336" s="163">
        <v>334</v>
      </c>
      <c r="B336" s="182" t="s">
        <v>1261</v>
      </c>
      <c r="C336" s="182" t="s">
        <v>1262</v>
      </c>
      <c r="D336" s="185" t="s">
        <v>1</v>
      </c>
      <c r="E336" s="164">
        <v>0</v>
      </c>
      <c r="F336" s="165">
        <v>0</v>
      </c>
      <c r="G336" s="165">
        <v>0</v>
      </c>
      <c r="H336" s="166">
        <v>0</v>
      </c>
      <c r="I336" s="167">
        <v>0</v>
      </c>
      <c r="J336" s="165">
        <v>0</v>
      </c>
      <c r="K336" s="168">
        <v>0</v>
      </c>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row>
    <row r="337" spans="1:38">
      <c r="A337" s="163">
        <v>335</v>
      </c>
      <c r="B337" s="182" t="s">
        <v>1263</v>
      </c>
      <c r="C337" s="182" t="s">
        <v>1264</v>
      </c>
      <c r="D337" s="185" t="s">
        <v>1</v>
      </c>
      <c r="E337" s="164">
        <v>0</v>
      </c>
      <c r="F337" s="165">
        <v>0</v>
      </c>
      <c r="G337" s="165">
        <v>0</v>
      </c>
      <c r="H337" s="166">
        <v>0</v>
      </c>
      <c r="I337" s="167">
        <v>0</v>
      </c>
      <c r="J337" s="165">
        <v>0</v>
      </c>
      <c r="K337" s="168">
        <v>0</v>
      </c>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row>
    <row r="338" spans="1:38">
      <c r="A338" s="163">
        <v>336</v>
      </c>
      <c r="B338" s="182" t="s">
        <v>1265</v>
      </c>
      <c r="C338" s="182" t="s">
        <v>1266</v>
      </c>
      <c r="D338" s="185" t="s">
        <v>1</v>
      </c>
      <c r="E338" s="164">
        <v>0</v>
      </c>
      <c r="F338" s="165">
        <v>0</v>
      </c>
      <c r="G338" s="165">
        <v>0</v>
      </c>
      <c r="H338" s="166">
        <v>0</v>
      </c>
      <c r="I338" s="167">
        <v>0</v>
      </c>
      <c r="J338" s="165">
        <v>0</v>
      </c>
      <c r="K338" s="168">
        <v>0</v>
      </c>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row>
    <row r="339" spans="1:38">
      <c r="A339" s="163">
        <v>337</v>
      </c>
      <c r="B339" s="182" t="s">
        <v>1267</v>
      </c>
      <c r="C339" s="182" t="s">
        <v>1268</v>
      </c>
      <c r="D339" s="185" t="s">
        <v>1</v>
      </c>
      <c r="E339" s="164">
        <v>0</v>
      </c>
      <c r="F339" s="165">
        <v>0</v>
      </c>
      <c r="G339" s="165">
        <v>0</v>
      </c>
      <c r="H339" s="166">
        <v>0</v>
      </c>
      <c r="I339" s="167">
        <v>0</v>
      </c>
      <c r="J339" s="165">
        <v>0</v>
      </c>
      <c r="K339" s="168">
        <v>0</v>
      </c>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row>
    <row r="340" spans="1:38">
      <c r="A340" s="171">
        <v>338</v>
      </c>
      <c r="B340" s="188" t="s">
        <v>1269</v>
      </c>
      <c r="C340" s="182" t="s">
        <v>1270</v>
      </c>
      <c r="D340" s="186" t="s">
        <v>1</v>
      </c>
      <c r="E340" s="169">
        <v>46</v>
      </c>
      <c r="F340" s="172">
        <v>474650</v>
      </c>
      <c r="G340" s="172">
        <v>18654</v>
      </c>
      <c r="H340" s="173">
        <v>0.19999999999999996</v>
      </c>
      <c r="I340" s="174">
        <v>0.96855957020962813</v>
      </c>
      <c r="J340" s="172">
        <v>14923.2</v>
      </c>
      <c r="K340" s="175">
        <f>+J340*E340</f>
        <v>686467.20000000007</v>
      </c>
      <c r="L340" s="77">
        <v>46</v>
      </c>
      <c r="M340" s="71"/>
      <c r="N340" s="91"/>
      <c r="O340" s="71"/>
      <c r="P340" s="71"/>
      <c r="Q340" s="71"/>
      <c r="R340" s="71"/>
      <c r="S340" s="71"/>
      <c r="T340" s="71"/>
      <c r="U340" s="71"/>
      <c r="V340" s="71"/>
      <c r="W340" s="71"/>
      <c r="X340" s="71"/>
      <c r="Y340" s="71"/>
      <c r="Z340" s="71"/>
      <c r="AA340" s="71"/>
      <c r="AB340" s="71"/>
      <c r="AC340" s="71"/>
      <c r="AD340" s="71"/>
      <c r="AE340" s="71"/>
      <c r="AF340" s="71"/>
      <c r="AG340" s="94"/>
      <c r="AH340" s="71"/>
      <c r="AI340" s="71"/>
      <c r="AJ340" s="71"/>
      <c r="AK340" s="94">
        <f t="shared" ref="AK340:AK342" si="30">SUBTOTAL(9,L340:AJ340)</f>
        <v>46</v>
      </c>
      <c r="AL340" s="79">
        <f t="shared" ref="AL340:AL342" si="31">+J340*AK340</f>
        <v>686467.20000000007</v>
      </c>
    </row>
    <row r="341" spans="1:38">
      <c r="A341" s="171">
        <v>339</v>
      </c>
      <c r="B341" s="188" t="s">
        <v>1271</v>
      </c>
      <c r="C341" s="182" t="s">
        <v>1272</v>
      </c>
      <c r="D341" s="186" t="s">
        <v>1</v>
      </c>
      <c r="E341" s="169">
        <v>4</v>
      </c>
      <c r="F341" s="172">
        <v>525664</v>
      </c>
      <c r="G341" s="172">
        <v>17639</v>
      </c>
      <c r="H341" s="173">
        <v>0.19999999999999996</v>
      </c>
      <c r="I341" s="174">
        <v>0.97315547574115779</v>
      </c>
      <c r="J341" s="172">
        <v>14111.2</v>
      </c>
      <c r="K341" s="175">
        <f t="shared" ref="K341:K342" si="32">+J341*E341</f>
        <v>56444.800000000003</v>
      </c>
      <c r="L341" s="77">
        <v>4</v>
      </c>
      <c r="M341" s="71"/>
      <c r="N341" s="91"/>
      <c r="O341" s="71"/>
      <c r="P341" s="71"/>
      <c r="Q341" s="71"/>
      <c r="R341" s="71"/>
      <c r="S341" s="71"/>
      <c r="T341" s="71"/>
      <c r="U341" s="71"/>
      <c r="V341" s="71"/>
      <c r="W341" s="71"/>
      <c r="X341" s="71"/>
      <c r="Y341" s="71"/>
      <c r="Z341" s="71"/>
      <c r="AA341" s="71"/>
      <c r="AB341" s="71"/>
      <c r="AC341" s="71"/>
      <c r="AD341" s="71"/>
      <c r="AE341" s="71"/>
      <c r="AF341" s="71"/>
      <c r="AG341" s="94"/>
      <c r="AH341" s="71"/>
      <c r="AI341" s="71"/>
      <c r="AJ341" s="71"/>
      <c r="AK341" s="94">
        <f t="shared" si="30"/>
        <v>4</v>
      </c>
      <c r="AL341" s="79">
        <f t="shared" si="31"/>
        <v>56444.800000000003</v>
      </c>
    </row>
    <row r="342" spans="1:38">
      <c r="A342" s="171">
        <v>340</v>
      </c>
      <c r="B342" s="188" t="s">
        <v>1273</v>
      </c>
      <c r="C342" s="182" t="s">
        <v>1274</v>
      </c>
      <c r="D342" s="186" t="s">
        <v>1</v>
      </c>
      <c r="E342" s="169">
        <v>3</v>
      </c>
      <c r="F342" s="172">
        <v>1029302</v>
      </c>
      <c r="G342" s="172">
        <v>36285</v>
      </c>
      <c r="H342" s="173">
        <v>0.2</v>
      </c>
      <c r="I342" s="174">
        <v>0.97179836432844779</v>
      </c>
      <c r="J342" s="172">
        <v>29028</v>
      </c>
      <c r="K342" s="175">
        <f t="shared" si="32"/>
        <v>87084</v>
      </c>
      <c r="L342" s="77">
        <v>3</v>
      </c>
      <c r="M342" s="71"/>
      <c r="N342" s="91"/>
      <c r="O342" s="71"/>
      <c r="P342" s="71"/>
      <c r="Q342" s="71"/>
      <c r="R342" s="71"/>
      <c r="S342" s="71"/>
      <c r="T342" s="71"/>
      <c r="U342" s="71"/>
      <c r="V342" s="71"/>
      <c r="W342" s="71"/>
      <c r="X342" s="71"/>
      <c r="Y342" s="71"/>
      <c r="Z342" s="71"/>
      <c r="AA342" s="71"/>
      <c r="AB342" s="71"/>
      <c r="AC342" s="71"/>
      <c r="AD342" s="71"/>
      <c r="AE342" s="71"/>
      <c r="AF342" s="71"/>
      <c r="AG342" s="94"/>
      <c r="AH342" s="71"/>
      <c r="AI342" s="71"/>
      <c r="AJ342" s="71"/>
      <c r="AK342" s="94">
        <f t="shared" si="30"/>
        <v>3</v>
      </c>
      <c r="AL342" s="79">
        <f t="shared" si="31"/>
        <v>87084</v>
      </c>
    </row>
    <row r="343" spans="1:38">
      <c r="A343" s="163">
        <v>341</v>
      </c>
      <c r="B343" s="182" t="s">
        <v>1275</v>
      </c>
      <c r="C343" s="182" t="s">
        <v>1276</v>
      </c>
      <c r="D343" s="185" t="s">
        <v>1</v>
      </c>
      <c r="E343" s="164">
        <v>0</v>
      </c>
      <c r="F343" s="165">
        <v>0</v>
      </c>
      <c r="G343" s="165">
        <v>0</v>
      </c>
      <c r="H343" s="166">
        <v>0</v>
      </c>
      <c r="I343" s="167">
        <v>0</v>
      </c>
      <c r="J343" s="165">
        <v>0</v>
      </c>
      <c r="K343" s="168">
        <v>0</v>
      </c>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row>
    <row r="344" spans="1:38">
      <c r="A344" s="163">
        <v>342</v>
      </c>
      <c r="B344" s="182" t="s">
        <v>1277</v>
      </c>
      <c r="C344" s="182" t="s">
        <v>1278</v>
      </c>
      <c r="D344" s="185" t="s">
        <v>1</v>
      </c>
      <c r="E344" s="164">
        <v>0</v>
      </c>
      <c r="F344" s="165">
        <v>0</v>
      </c>
      <c r="G344" s="165">
        <v>0</v>
      </c>
      <c r="H344" s="166">
        <v>0</v>
      </c>
      <c r="I344" s="167">
        <v>0</v>
      </c>
      <c r="J344" s="165">
        <v>0</v>
      </c>
      <c r="K344" s="168">
        <v>0</v>
      </c>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row>
    <row r="345" spans="1:38">
      <c r="A345" s="163">
        <v>343</v>
      </c>
      <c r="B345" s="182" t="s">
        <v>1279</v>
      </c>
      <c r="C345" s="182" t="s">
        <v>1280</v>
      </c>
      <c r="D345" s="185" t="s">
        <v>1</v>
      </c>
      <c r="E345" s="164">
        <v>0</v>
      </c>
      <c r="F345" s="165">
        <v>0</v>
      </c>
      <c r="G345" s="165">
        <v>0</v>
      </c>
      <c r="H345" s="166">
        <v>0</v>
      </c>
      <c r="I345" s="167">
        <v>0</v>
      </c>
      <c r="J345" s="165">
        <v>0</v>
      </c>
      <c r="K345" s="168">
        <v>0</v>
      </c>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row>
    <row r="346" spans="1:38">
      <c r="A346" s="163">
        <v>344</v>
      </c>
      <c r="B346" s="182" t="s">
        <v>1281</v>
      </c>
      <c r="C346" s="182" t="s">
        <v>1282</v>
      </c>
      <c r="D346" s="185" t="s">
        <v>1</v>
      </c>
      <c r="E346" s="164">
        <v>0</v>
      </c>
      <c r="F346" s="165">
        <v>0</v>
      </c>
      <c r="G346" s="165">
        <v>0</v>
      </c>
      <c r="H346" s="166">
        <v>0</v>
      </c>
      <c r="I346" s="167">
        <v>0</v>
      </c>
      <c r="J346" s="165">
        <v>0</v>
      </c>
      <c r="K346" s="168">
        <v>0</v>
      </c>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row>
    <row r="347" spans="1:38">
      <c r="A347" s="163">
        <v>345</v>
      </c>
      <c r="B347" s="182" t="s">
        <v>1283</v>
      </c>
      <c r="C347" s="182" t="s">
        <v>1284</v>
      </c>
      <c r="D347" s="185" t="s">
        <v>1</v>
      </c>
      <c r="E347" s="164">
        <v>0</v>
      </c>
      <c r="F347" s="165">
        <v>0</v>
      </c>
      <c r="G347" s="165">
        <v>0</v>
      </c>
      <c r="H347" s="166">
        <v>0</v>
      </c>
      <c r="I347" s="167">
        <v>0</v>
      </c>
      <c r="J347" s="165">
        <v>0</v>
      </c>
      <c r="K347" s="168">
        <v>0</v>
      </c>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row>
    <row r="348" spans="1:38">
      <c r="A348" s="163">
        <v>346</v>
      </c>
      <c r="B348" s="182" t="s">
        <v>1285</v>
      </c>
      <c r="C348" s="182" t="s">
        <v>1286</v>
      </c>
      <c r="D348" s="185" t="s">
        <v>1</v>
      </c>
      <c r="E348" s="164">
        <v>0</v>
      </c>
      <c r="F348" s="165">
        <v>0</v>
      </c>
      <c r="G348" s="165">
        <v>0</v>
      </c>
      <c r="H348" s="166">
        <v>0</v>
      </c>
      <c r="I348" s="167">
        <v>0</v>
      </c>
      <c r="J348" s="165">
        <v>0</v>
      </c>
      <c r="K348" s="168">
        <v>0</v>
      </c>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row>
    <row r="349" spans="1:38">
      <c r="A349" s="163">
        <v>347</v>
      </c>
      <c r="B349" s="182" t="s">
        <v>1287</v>
      </c>
      <c r="C349" s="182" t="s">
        <v>1288</v>
      </c>
      <c r="D349" s="185" t="s">
        <v>1</v>
      </c>
      <c r="E349" s="164">
        <v>0</v>
      </c>
      <c r="F349" s="165">
        <v>0</v>
      </c>
      <c r="G349" s="165">
        <v>0</v>
      </c>
      <c r="H349" s="166">
        <v>0</v>
      </c>
      <c r="I349" s="167">
        <v>0</v>
      </c>
      <c r="J349" s="165">
        <v>0</v>
      </c>
      <c r="K349" s="168">
        <v>0</v>
      </c>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row>
    <row r="350" spans="1:38">
      <c r="A350" s="163">
        <v>348</v>
      </c>
      <c r="B350" s="182" t="s">
        <v>1289</v>
      </c>
      <c r="C350" s="182" t="s">
        <v>1290</v>
      </c>
      <c r="D350" s="185" t="s">
        <v>1</v>
      </c>
      <c r="E350" s="164">
        <v>0</v>
      </c>
      <c r="F350" s="165">
        <v>0</v>
      </c>
      <c r="G350" s="165">
        <v>0</v>
      </c>
      <c r="H350" s="166">
        <v>0</v>
      </c>
      <c r="I350" s="167">
        <v>0</v>
      </c>
      <c r="J350" s="165">
        <v>0</v>
      </c>
      <c r="K350" s="168">
        <v>0</v>
      </c>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row>
    <row r="351" spans="1:38">
      <c r="A351" s="163">
        <v>349</v>
      </c>
      <c r="B351" s="182" t="s">
        <v>1291</v>
      </c>
      <c r="C351" s="182" t="s">
        <v>1292</v>
      </c>
      <c r="D351" s="185" t="s">
        <v>1</v>
      </c>
      <c r="E351" s="164">
        <v>83</v>
      </c>
      <c r="F351" s="165">
        <v>34218</v>
      </c>
      <c r="G351" s="165">
        <v>1071</v>
      </c>
      <c r="H351" s="166">
        <v>0.20000000000000004</v>
      </c>
      <c r="I351" s="167">
        <v>0.97496054708048396</v>
      </c>
      <c r="J351" s="165">
        <v>856.8</v>
      </c>
      <c r="K351" s="168">
        <v>71114.399999999994</v>
      </c>
      <c r="L351" s="77">
        <v>6</v>
      </c>
      <c r="M351" s="77">
        <v>3</v>
      </c>
      <c r="N351" s="198">
        <v>2</v>
      </c>
      <c r="O351" s="77">
        <v>6</v>
      </c>
      <c r="P351" s="77">
        <v>4</v>
      </c>
      <c r="Q351" s="77">
        <v>6</v>
      </c>
      <c r="R351" s="77">
        <v>4</v>
      </c>
      <c r="S351" s="77">
        <v>2</v>
      </c>
      <c r="T351" s="77">
        <v>4</v>
      </c>
      <c r="U351" s="77">
        <v>14</v>
      </c>
      <c r="V351" s="77">
        <v>4</v>
      </c>
      <c r="W351" s="77">
        <v>2</v>
      </c>
      <c r="X351" s="77">
        <v>2</v>
      </c>
      <c r="Y351" s="77">
        <v>2</v>
      </c>
      <c r="Z351" s="77">
        <v>2</v>
      </c>
      <c r="AA351" s="77">
        <v>2</v>
      </c>
      <c r="AB351" s="77">
        <v>2</v>
      </c>
      <c r="AC351" s="77">
        <v>2</v>
      </c>
      <c r="AD351" s="77">
        <v>2</v>
      </c>
      <c r="AE351" s="77">
        <v>2</v>
      </c>
      <c r="AF351" s="77">
        <v>2</v>
      </c>
      <c r="AG351" s="94">
        <v>2</v>
      </c>
      <c r="AH351" s="77">
        <v>2</v>
      </c>
      <c r="AI351" s="77">
        <v>2</v>
      </c>
      <c r="AJ351" s="77">
        <v>2</v>
      </c>
      <c r="AK351" s="94">
        <f>SUBTOTAL(9,L351:AJ351)</f>
        <v>83</v>
      </c>
      <c r="AL351" s="79">
        <f>+J351*AK351</f>
        <v>71114.399999999994</v>
      </c>
    </row>
    <row r="352" spans="1:38">
      <c r="A352" s="163">
        <v>350</v>
      </c>
      <c r="B352" s="182" t="s">
        <v>1293</v>
      </c>
      <c r="C352" s="182" t="s">
        <v>1294</v>
      </c>
      <c r="D352" s="185" t="s">
        <v>1</v>
      </c>
      <c r="E352" s="164">
        <v>0</v>
      </c>
      <c r="F352" s="165">
        <v>0</v>
      </c>
      <c r="G352" s="165">
        <v>0</v>
      </c>
      <c r="H352" s="166">
        <v>0</v>
      </c>
      <c r="I352" s="167">
        <v>0</v>
      </c>
      <c r="J352" s="165">
        <v>0</v>
      </c>
      <c r="K352" s="168">
        <v>0</v>
      </c>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row>
    <row r="353" spans="1:38">
      <c r="A353" s="163">
        <v>351</v>
      </c>
      <c r="B353" s="182" t="s">
        <v>1295</v>
      </c>
      <c r="C353" s="182" t="s">
        <v>1296</v>
      </c>
      <c r="D353" s="185" t="s">
        <v>1</v>
      </c>
      <c r="E353" s="164">
        <v>10</v>
      </c>
      <c r="F353" s="165">
        <v>132735</v>
      </c>
      <c r="G353" s="165">
        <v>4712</v>
      </c>
      <c r="H353" s="166">
        <v>0.2</v>
      </c>
      <c r="I353" s="167">
        <v>0.97160055750178931</v>
      </c>
      <c r="J353" s="165">
        <v>3769.6</v>
      </c>
      <c r="K353" s="168">
        <v>37696</v>
      </c>
      <c r="L353" s="77">
        <v>10</v>
      </c>
      <c r="M353" s="71"/>
      <c r="N353" s="91"/>
      <c r="O353" s="71"/>
      <c r="P353" s="71"/>
      <c r="Q353" s="71"/>
      <c r="R353" s="71"/>
      <c r="S353" s="71"/>
      <c r="T353" s="71"/>
      <c r="U353" s="71"/>
      <c r="V353" s="71"/>
      <c r="W353" s="71"/>
      <c r="X353" s="71"/>
      <c r="Y353" s="71"/>
      <c r="Z353" s="71"/>
      <c r="AA353" s="71"/>
      <c r="AB353" s="71"/>
      <c r="AC353" s="71"/>
      <c r="AD353" s="71"/>
      <c r="AE353" s="71"/>
      <c r="AF353" s="71"/>
      <c r="AG353" s="94"/>
      <c r="AH353" s="71"/>
      <c r="AI353" s="71"/>
      <c r="AJ353" s="71"/>
      <c r="AK353" s="94">
        <f>SUBTOTAL(9,L353:AJ353)</f>
        <v>10</v>
      </c>
      <c r="AL353" s="79">
        <f>+J353*AK353</f>
        <v>37696</v>
      </c>
    </row>
    <row r="354" spans="1:38">
      <c r="A354" s="163">
        <v>352</v>
      </c>
      <c r="B354" s="182" t="s">
        <v>1297</v>
      </c>
      <c r="C354" s="182" t="s">
        <v>1298</v>
      </c>
      <c r="D354" s="185" t="s">
        <v>1</v>
      </c>
      <c r="E354" s="164">
        <v>0</v>
      </c>
      <c r="F354" s="165">
        <v>0</v>
      </c>
      <c r="G354" s="165">
        <v>0</v>
      </c>
      <c r="H354" s="166">
        <v>0</v>
      </c>
      <c r="I354" s="167">
        <v>0</v>
      </c>
      <c r="J354" s="165">
        <v>0</v>
      </c>
      <c r="K354" s="168">
        <v>0</v>
      </c>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row>
    <row r="355" spans="1:38">
      <c r="A355" s="163">
        <v>353</v>
      </c>
      <c r="B355" s="182" t="s">
        <v>1299</v>
      </c>
      <c r="C355" s="182" t="s">
        <v>1300</v>
      </c>
      <c r="D355" s="185" t="s">
        <v>1</v>
      </c>
      <c r="E355" s="164">
        <v>0</v>
      </c>
      <c r="F355" s="165">
        <v>0</v>
      </c>
      <c r="G355" s="165">
        <v>0</v>
      </c>
      <c r="H355" s="166">
        <v>0</v>
      </c>
      <c r="I355" s="167">
        <v>0</v>
      </c>
      <c r="J355" s="165">
        <v>0</v>
      </c>
      <c r="K355" s="168">
        <v>0</v>
      </c>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row>
    <row r="356" spans="1:38">
      <c r="A356" s="163">
        <v>354</v>
      </c>
      <c r="B356" s="182" t="s">
        <v>1301</v>
      </c>
      <c r="C356" s="182" t="s">
        <v>1302</v>
      </c>
      <c r="D356" s="185" t="s">
        <v>1</v>
      </c>
      <c r="E356" s="164">
        <v>20</v>
      </c>
      <c r="F356" s="165">
        <v>127521</v>
      </c>
      <c r="G356" s="165">
        <v>4136</v>
      </c>
      <c r="H356" s="166">
        <v>0.19999999999999996</v>
      </c>
      <c r="I356" s="167">
        <v>0.97405290109080078</v>
      </c>
      <c r="J356" s="165">
        <v>3308.8</v>
      </c>
      <c r="K356" s="168">
        <v>66176</v>
      </c>
      <c r="L356" s="77">
        <v>20</v>
      </c>
      <c r="M356" s="71"/>
      <c r="N356" s="91"/>
      <c r="O356" s="71"/>
      <c r="P356" s="71"/>
      <c r="Q356" s="71"/>
      <c r="R356" s="71"/>
      <c r="S356" s="71"/>
      <c r="T356" s="71"/>
      <c r="U356" s="71"/>
      <c r="V356" s="71"/>
      <c r="W356" s="71"/>
      <c r="X356" s="71"/>
      <c r="Y356" s="71"/>
      <c r="Z356" s="71"/>
      <c r="AA356" s="71"/>
      <c r="AB356" s="71"/>
      <c r="AC356" s="71"/>
      <c r="AD356" s="71"/>
      <c r="AE356" s="71"/>
      <c r="AF356" s="71"/>
      <c r="AG356" s="94"/>
      <c r="AH356" s="71"/>
      <c r="AI356" s="71"/>
      <c r="AJ356" s="71"/>
      <c r="AK356" s="94">
        <f>SUBTOTAL(9,L356:AJ356)</f>
        <v>20</v>
      </c>
      <c r="AL356" s="79">
        <f>+J356*AK356</f>
        <v>66176</v>
      </c>
    </row>
    <row r="357" spans="1:38">
      <c r="A357" s="163">
        <v>355</v>
      </c>
      <c r="B357" s="182" t="s">
        <v>1303</v>
      </c>
      <c r="C357" s="182" t="s">
        <v>1304</v>
      </c>
      <c r="D357" s="185" t="s">
        <v>1</v>
      </c>
      <c r="E357" s="164">
        <v>0</v>
      </c>
      <c r="F357" s="165">
        <v>0</v>
      </c>
      <c r="G357" s="165">
        <v>0</v>
      </c>
      <c r="H357" s="166">
        <v>0</v>
      </c>
      <c r="I357" s="167">
        <v>0</v>
      </c>
      <c r="J357" s="165">
        <v>0</v>
      </c>
      <c r="K357" s="168">
        <v>0</v>
      </c>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row>
    <row r="358" spans="1:38">
      <c r="A358" s="163">
        <v>356</v>
      </c>
      <c r="B358" s="182" t="s">
        <v>1305</v>
      </c>
      <c r="C358" s="182" t="s">
        <v>1306</v>
      </c>
      <c r="D358" s="185" t="s">
        <v>1</v>
      </c>
      <c r="E358" s="164">
        <v>0</v>
      </c>
      <c r="F358" s="165">
        <v>0</v>
      </c>
      <c r="G358" s="165">
        <v>0</v>
      </c>
      <c r="H358" s="166">
        <v>0</v>
      </c>
      <c r="I358" s="167">
        <v>0</v>
      </c>
      <c r="J358" s="165">
        <v>0</v>
      </c>
      <c r="K358" s="168">
        <v>0</v>
      </c>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row>
    <row r="359" spans="1:38">
      <c r="A359" s="163">
        <v>357</v>
      </c>
      <c r="B359" s="182" t="s">
        <v>1307</v>
      </c>
      <c r="C359" s="182" t="s">
        <v>1308</v>
      </c>
      <c r="D359" s="185" t="s">
        <v>1</v>
      </c>
      <c r="E359" s="164">
        <v>25</v>
      </c>
      <c r="F359" s="165">
        <v>115576</v>
      </c>
      <c r="G359" s="165">
        <v>2827</v>
      </c>
      <c r="H359" s="166">
        <v>0.20000000000000004</v>
      </c>
      <c r="I359" s="167">
        <v>0.98043192358275078</v>
      </c>
      <c r="J359" s="165">
        <v>2261.6</v>
      </c>
      <c r="K359" s="168">
        <v>56540</v>
      </c>
      <c r="L359" s="77">
        <v>25</v>
      </c>
      <c r="M359" s="71"/>
      <c r="N359" s="91"/>
      <c r="O359" s="71"/>
      <c r="P359" s="71"/>
      <c r="Q359" s="71"/>
      <c r="R359" s="71"/>
      <c r="S359" s="71"/>
      <c r="T359" s="71"/>
      <c r="U359" s="71"/>
      <c r="V359" s="71"/>
      <c r="W359" s="71"/>
      <c r="X359" s="71"/>
      <c r="Y359" s="71"/>
      <c r="Z359" s="71"/>
      <c r="AA359" s="71"/>
      <c r="AB359" s="71"/>
      <c r="AC359" s="71"/>
      <c r="AD359" s="71"/>
      <c r="AE359" s="71"/>
      <c r="AF359" s="71"/>
      <c r="AG359" s="94"/>
      <c r="AH359" s="71"/>
      <c r="AI359" s="71"/>
      <c r="AJ359" s="71"/>
      <c r="AK359" s="94">
        <f>SUBTOTAL(9,L359:AJ359)</f>
        <v>25</v>
      </c>
      <c r="AL359" s="79">
        <f>+J359*AK359</f>
        <v>56540</v>
      </c>
    </row>
    <row r="360" spans="1:38">
      <c r="A360" s="163">
        <v>358</v>
      </c>
      <c r="B360" s="182" t="s">
        <v>1309</v>
      </c>
      <c r="C360" s="182" t="s">
        <v>1310</v>
      </c>
      <c r="D360" s="185" t="s">
        <v>1</v>
      </c>
      <c r="E360" s="164">
        <v>0</v>
      </c>
      <c r="F360" s="165">
        <v>0</v>
      </c>
      <c r="G360" s="165">
        <v>0</v>
      </c>
      <c r="H360" s="166">
        <v>0</v>
      </c>
      <c r="I360" s="167">
        <v>0</v>
      </c>
      <c r="J360" s="165">
        <v>0</v>
      </c>
      <c r="K360" s="168">
        <v>0</v>
      </c>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row>
    <row r="361" spans="1:38">
      <c r="A361" s="163">
        <v>359</v>
      </c>
      <c r="B361" s="182" t="s">
        <v>1311</v>
      </c>
      <c r="C361" s="182" t="s">
        <v>1312</v>
      </c>
      <c r="D361" s="185" t="s">
        <v>1</v>
      </c>
      <c r="E361" s="164">
        <v>0</v>
      </c>
      <c r="F361" s="165">
        <v>0</v>
      </c>
      <c r="G361" s="165">
        <v>0</v>
      </c>
      <c r="H361" s="166">
        <v>0</v>
      </c>
      <c r="I361" s="167">
        <v>0</v>
      </c>
      <c r="J361" s="165">
        <v>0</v>
      </c>
      <c r="K361" s="168">
        <v>0</v>
      </c>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row>
    <row r="362" spans="1:38">
      <c r="A362" s="163">
        <v>360</v>
      </c>
      <c r="B362" s="182" t="s">
        <v>1313</v>
      </c>
      <c r="C362" s="182" t="s">
        <v>1314</v>
      </c>
      <c r="D362" s="185" t="s">
        <v>1</v>
      </c>
      <c r="E362" s="164">
        <v>75</v>
      </c>
      <c r="F362" s="165">
        <v>46558</v>
      </c>
      <c r="G362" s="165">
        <v>6016</v>
      </c>
      <c r="H362" s="166">
        <v>0.25</v>
      </c>
      <c r="I362" s="167">
        <v>0.90308862064521667</v>
      </c>
      <c r="J362" s="165">
        <v>4512</v>
      </c>
      <c r="K362" s="168">
        <v>338400</v>
      </c>
      <c r="L362" s="94">
        <v>75</v>
      </c>
      <c r="M362" s="71"/>
      <c r="N362" s="91"/>
      <c r="O362" s="71"/>
      <c r="P362" s="71"/>
      <c r="Q362" s="71"/>
      <c r="R362" s="71"/>
      <c r="S362" s="71"/>
      <c r="T362" s="71"/>
      <c r="U362" s="71"/>
      <c r="V362" s="71"/>
      <c r="W362" s="71"/>
      <c r="X362" s="71"/>
      <c r="Y362" s="71"/>
      <c r="Z362" s="71"/>
      <c r="AA362" s="71"/>
      <c r="AB362" s="71"/>
      <c r="AC362" s="71"/>
      <c r="AD362" s="71"/>
      <c r="AE362" s="71"/>
      <c r="AF362" s="71"/>
      <c r="AG362" s="94"/>
      <c r="AH362" s="71"/>
      <c r="AI362" s="71"/>
      <c r="AJ362" s="71"/>
      <c r="AK362" s="94">
        <f>SUBTOTAL(9,L362:AJ362)</f>
        <v>75</v>
      </c>
      <c r="AL362" s="79">
        <f>+J362*AK362</f>
        <v>338400</v>
      </c>
    </row>
    <row r="363" spans="1:38">
      <c r="A363" s="163">
        <v>361</v>
      </c>
      <c r="B363" s="182" t="s">
        <v>1315</v>
      </c>
      <c r="C363" s="182" t="s">
        <v>1316</v>
      </c>
      <c r="D363" s="185" t="s">
        <v>1</v>
      </c>
      <c r="E363" s="164">
        <v>0</v>
      </c>
      <c r="F363" s="165">
        <v>0</v>
      </c>
      <c r="G363" s="165">
        <v>0</v>
      </c>
      <c r="H363" s="166">
        <v>0</v>
      </c>
      <c r="I363" s="167">
        <v>0</v>
      </c>
      <c r="J363" s="165">
        <v>0</v>
      </c>
      <c r="K363" s="168">
        <v>0</v>
      </c>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row>
    <row r="364" spans="1:38">
      <c r="A364" s="163">
        <v>362</v>
      </c>
      <c r="B364" s="182" t="s">
        <v>1317</v>
      </c>
      <c r="C364" s="182" t="s">
        <v>1318</v>
      </c>
      <c r="D364" s="185" t="s">
        <v>1</v>
      </c>
      <c r="E364" s="164">
        <v>0</v>
      </c>
      <c r="F364" s="165">
        <v>0</v>
      </c>
      <c r="G364" s="165">
        <v>0</v>
      </c>
      <c r="H364" s="166">
        <v>0</v>
      </c>
      <c r="I364" s="167">
        <v>0</v>
      </c>
      <c r="J364" s="165">
        <v>0</v>
      </c>
      <c r="K364" s="168">
        <v>0</v>
      </c>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row>
    <row r="365" spans="1:38">
      <c r="A365" s="163">
        <v>363</v>
      </c>
      <c r="B365" s="182" t="s">
        <v>1319</v>
      </c>
      <c r="C365" s="182" t="s">
        <v>1320</v>
      </c>
      <c r="D365" s="185" t="s">
        <v>1</v>
      </c>
      <c r="E365" s="164">
        <v>0</v>
      </c>
      <c r="F365" s="165">
        <v>0</v>
      </c>
      <c r="G365" s="165">
        <v>0</v>
      </c>
      <c r="H365" s="166">
        <v>0</v>
      </c>
      <c r="I365" s="167">
        <v>0</v>
      </c>
      <c r="J365" s="165">
        <v>0</v>
      </c>
      <c r="K365" s="168">
        <v>0</v>
      </c>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row>
    <row r="366" spans="1:38">
      <c r="A366" s="163">
        <v>364</v>
      </c>
      <c r="B366" s="182" t="s">
        <v>1321</v>
      </c>
      <c r="C366" s="182" t="s">
        <v>1320</v>
      </c>
      <c r="D366" s="185" t="s">
        <v>1</v>
      </c>
      <c r="E366" s="164">
        <v>0</v>
      </c>
      <c r="F366" s="165">
        <v>0</v>
      </c>
      <c r="G366" s="165">
        <v>0</v>
      </c>
      <c r="H366" s="166">
        <v>0</v>
      </c>
      <c r="I366" s="167">
        <v>0</v>
      </c>
      <c r="J366" s="165">
        <v>0</v>
      </c>
      <c r="K366" s="168">
        <v>0</v>
      </c>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row>
    <row r="367" spans="1:38">
      <c r="A367" s="163">
        <v>365</v>
      </c>
      <c r="B367" s="182" t="s">
        <v>96</v>
      </c>
      <c r="C367" s="182" t="s">
        <v>1322</v>
      </c>
      <c r="D367" s="185" t="s">
        <v>1</v>
      </c>
      <c r="E367" s="164">
        <v>4</v>
      </c>
      <c r="F367" s="165">
        <v>42648</v>
      </c>
      <c r="G367" s="165">
        <v>21757</v>
      </c>
      <c r="H367" s="166">
        <v>0.20000000000000007</v>
      </c>
      <c r="I367" s="167">
        <v>0.59187769649221544</v>
      </c>
      <c r="J367" s="165">
        <v>17405.599999999999</v>
      </c>
      <c r="K367" s="168">
        <v>69622.399999999994</v>
      </c>
      <c r="L367" s="71"/>
      <c r="M367" s="71"/>
      <c r="N367" s="91"/>
      <c r="O367" s="71"/>
      <c r="P367" s="71"/>
      <c r="Q367" s="71"/>
      <c r="R367" s="71"/>
      <c r="S367" s="71"/>
      <c r="T367" s="71"/>
      <c r="U367" s="71"/>
      <c r="V367" s="71"/>
      <c r="W367" s="71"/>
      <c r="X367" s="71"/>
      <c r="Y367" s="71"/>
      <c r="Z367" s="71"/>
      <c r="AA367" s="71"/>
      <c r="AB367" s="71"/>
      <c r="AC367" s="71"/>
      <c r="AD367" s="71"/>
      <c r="AE367" s="71"/>
      <c r="AF367" s="71"/>
      <c r="AG367" s="94"/>
      <c r="AH367" s="71"/>
      <c r="AI367" s="71"/>
      <c r="AJ367" s="71"/>
      <c r="AK367" s="71">
        <f>SUBTOTAL(9,L367:AJ367)</f>
        <v>0</v>
      </c>
      <c r="AL367" s="79">
        <f>+J367*AK367</f>
        <v>0</v>
      </c>
    </row>
    <row r="368" spans="1:38">
      <c r="A368" s="163">
        <v>366</v>
      </c>
      <c r="B368" s="182" t="s">
        <v>1323</v>
      </c>
      <c r="C368" s="182" t="s">
        <v>97</v>
      </c>
      <c r="D368" s="185" t="s">
        <v>1</v>
      </c>
      <c r="E368" s="164">
        <v>0</v>
      </c>
      <c r="F368" s="165">
        <v>0</v>
      </c>
      <c r="G368" s="165">
        <v>0</v>
      </c>
      <c r="H368" s="166">
        <v>0</v>
      </c>
      <c r="I368" s="167">
        <v>0</v>
      </c>
      <c r="J368" s="165">
        <v>0</v>
      </c>
      <c r="K368" s="168">
        <v>0</v>
      </c>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row>
    <row r="369" spans="1:38">
      <c r="A369" s="163">
        <v>367</v>
      </c>
      <c r="B369" s="182" t="s">
        <v>6</v>
      </c>
      <c r="C369" s="182" t="s">
        <v>1324</v>
      </c>
      <c r="D369" s="185" t="s">
        <v>1</v>
      </c>
      <c r="E369" s="164">
        <v>58</v>
      </c>
      <c r="F369" s="165">
        <v>48335</v>
      </c>
      <c r="G369" s="165">
        <v>25959</v>
      </c>
      <c r="H369" s="166">
        <v>0.25</v>
      </c>
      <c r="I369" s="167">
        <v>0.59720182062687499</v>
      </c>
      <c r="J369" s="165">
        <v>19469.25</v>
      </c>
      <c r="K369" s="168">
        <v>1129216.5</v>
      </c>
      <c r="L369" s="71"/>
      <c r="M369" s="71"/>
      <c r="N369" s="91"/>
      <c r="O369" s="71"/>
      <c r="P369" s="71"/>
      <c r="Q369" s="71"/>
      <c r="R369" s="71"/>
      <c r="S369" s="71"/>
      <c r="T369" s="71"/>
      <c r="U369" s="71"/>
      <c r="V369" s="71"/>
      <c r="W369" s="71"/>
      <c r="X369" s="71"/>
      <c r="Y369" s="71"/>
      <c r="Z369" s="71"/>
      <c r="AA369" s="71"/>
      <c r="AB369" s="71"/>
      <c r="AC369" s="71"/>
      <c r="AD369" s="71"/>
      <c r="AE369" s="71"/>
      <c r="AF369" s="71"/>
      <c r="AG369" s="94"/>
      <c r="AH369" s="71"/>
      <c r="AI369" s="71"/>
      <c r="AJ369" s="71"/>
      <c r="AK369" s="71">
        <f>SUBTOTAL(9,L369:AJ369)</f>
        <v>0</v>
      </c>
      <c r="AL369" s="79">
        <f>+J369*AK369</f>
        <v>0</v>
      </c>
    </row>
    <row r="370" spans="1:38">
      <c r="A370" s="163">
        <v>368</v>
      </c>
      <c r="B370" s="182" t="s">
        <v>1325</v>
      </c>
      <c r="C370" s="182" t="s">
        <v>98</v>
      </c>
      <c r="D370" s="185" t="s">
        <v>1</v>
      </c>
      <c r="E370" s="164">
        <v>0</v>
      </c>
      <c r="F370" s="165">
        <v>0</v>
      </c>
      <c r="G370" s="165">
        <v>0</v>
      </c>
      <c r="H370" s="166">
        <v>0</v>
      </c>
      <c r="I370" s="167">
        <v>0</v>
      </c>
      <c r="J370" s="165">
        <v>0</v>
      </c>
      <c r="K370" s="168">
        <v>0</v>
      </c>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row>
    <row r="371" spans="1:38">
      <c r="A371" s="163">
        <v>369</v>
      </c>
      <c r="B371" s="182" t="s">
        <v>1326</v>
      </c>
      <c r="C371" s="182" t="s">
        <v>1327</v>
      </c>
      <c r="D371" s="185" t="s">
        <v>1</v>
      </c>
      <c r="E371" s="164">
        <v>0</v>
      </c>
      <c r="F371" s="165">
        <v>0</v>
      </c>
      <c r="G371" s="165">
        <v>0</v>
      </c>
      <c r="H371" s="166">
        <v>0</v>
      </c>
      <c r="I371" s="167">
        <v>0</v>
      </c>
      <c r="J371" s="165">
        <v>0</v>
      </c>
      <c r="K371" s="168">
        <v>0</v>
      </c>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row>
    <row r="372" spans="1:38">
      <c r="A372" s="163">
        <v>370</v>
      </c>
      <c r="B372" s="182" t="s">
        <v>1328</v>
      </c>
      <c r="C372" s="182" t="s">
        <v>1329</v>
      </c>
      <c r="D372" s="185" t="s">
        <v>1</v>
      </c>
      <c r="E372" s="164">
        <v>0</v>
      </c>
      <c r="F372" s="165">
        <v>0</v>
      </c>
      <c r="G372" s="165">
        <v>0</v>
      </c>
      <c r="H372" s="166">
        <v>0</v>
      </c>
      <c r="I372" s="167">
        <v>0</v>
      </c>
      <c r="J372" s="165">
        <v>0</v>
      </c>
      <c r="K372" s="168">
        <v>0</v>
      </c>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row>
    <row r="373" spans="1:38">
      <c r="A373" s="163">
        <v>371</v>
      </c>
      <c r="B373" s="182" t="s">
        <v>1330</v>
      </c>
      <c r="C373" s="182" t="s">
        <v>1329</v>
      </c>
      <c r="D373" s="185" t="s">
        <v>1</v>
      </c>
      <c r="E373" s="164">
        <v>0</v>
      </c>
      <c r="F373" s="165">
        <v>0</v>
      </c>
      <c r="G373" s="165">
        <v>0</v>
      </c>
      <c r="H373" s="166">
        <v>0</v>
      </c>
      <c r="I373" s="167">
        <v>0</v>
      </c>
      <c r="J373" s="165">
        <v>0</v>
      </c>
      <c r="K373" s="168">
        <v>0</v>
      </c>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row>
    <row r="374" spans="1:38">
      <c r="A374" s="163">
        <v>372</v>
      </c>
      <c r="B374" s="182" t="s">
        <v>99</v>
      </c>
      <c r="C374" s="182" t="s">
        <v>1331</v>
      </c>
      <c r="D374" s="185" t="s">
        <v>1</v>
      </c>
      <c r="E374" s="164">
        <v>77</v>
      </c>
      <c r="F374" s="165">
        <v>76767</v>
      </c>
      <c r="G374" s="165">
        <v>26918</v>
      </c>
      <c r="H374" s="166">
        <v>0.25</v>
      </c>
      <c r="I374" s="167">
        <v>0.7370159052717965</v>
      </c>
      <c r="J374" s="165">
        <v>20188.5</v>
      </c>
      <c r="K374" s="168">
        <v>1554514.5</v>
      </c>
      <c r="L374" s="71"/>
      <c r="M374" s="71"/>
      <c r="N374" s="91"/>
      <c r="O374" s="71"/>
      <c r="P374" s="71"/>
      <c r="Q374" s="71"/>
      <c r="R374" s="71"/>
      <c r="S374" s="71"/>
      <c r="T374" s="71"/>
      <c r="U374" s="71"/>
      <c r="V374" s="71"/>
      <c r="W374" s="71"/>
      <c r="X374" s="71"/>
      <c r="Y374" s="71"/>
      <c r="Z374" s="71"/>
      <c r="AA374" s="71"/>
      <c r="AB374" s="71"/>
      <c r="AC374" s="71"/>
      <c r="AD374" s="71"/>
      <c r="AE374" s="71"/>
      <c r="AF374" s="71"/>
      <c r="AG374" s="94"/>
      <c r="AH374" s="71"/>
      <c r="AI374" s="71"/>
      <c r="AJ374" s="71"/>
      <c r="AK374" s="71">
        <f>SUBTOTAL(9,L374:AJ374)</f>
        <v>0</v>
      </c>
      <c r="AL374" s="79">
        <f>+J374*AK374</f>
        <v>0</v>
      </c>
    </row>
    <row r="375" spans="1:38">
      <c r="A375" s="163">
        <v>373</v>
      </c>
      <c r="B375" s="182" t="s">
        <v>1332</v>
      </c>
      <c r="C375" s="182" t="s">
        <v>100</v>
      </c>
      <c r="D375" s="185" t="s">
        <v>1</v>
      </c>
      <c r="E375" s="164">
        <v>0</v>
      </c>
      <c r="F375" s="165">
        <v>0</v>
      </c>
      <c r="G375" s="165">
        <v>0</v>
      </c>
      <c r="H375" s="166">
        <v>0</v>
      </c>
      <c r="I375" s="167">
        <v>0</v>
      </c>
      <c r="J375" s="165">
        <v>0</v>
      </c>
      <c r="K375" s="168">
        <v>0</v>
      </c>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row>
    <row r="376" spans="1:38">
      <c r="A376" s="163">
        <v>374</v>
      </c>
      <c r="B376" s="182" t="s">
        <v>101</v>
      </c>
      <c r="C376" s="182" t="s">
        <v>1333</v>
      </c>
      <c r="D376" s="185" t="s">
        <v>1</v>
      </c>
      <c r="E376" s="164">
        <v>35</v>
      </c>
      <c r="F376" s="165">
        <v>18480</v>
      </c>
      <c r="G376" s="165">
        <v>3442</v>
      </c>
      <c r="H376" s="166">
        <v>0.20000000000000004</v>
      </c>
      <c r="I376" s="167">
        <v>0.85099567099567097</v>
      </c>
      <c r="J376" s="165">
        <v>2753.6</v>
      </c>
      <c r="K376" s="168">
        <v>96376</v>
      </c>
      <c r="L376" s="71"/>
      <c r="M376" s="71"/>
      <c r="N376" s="91"/>
      <c r="O376" s="71"/>
      <c r="P376" s="71"/>
      <c r="Q376" s="71"/>
      <c r="R376" s="71"/>
      <c r="S376" s="71"/>
      <c r="T376" s="71"/>
      <c r="U376" s="71"/>
      <c r="V376" s="71"/>
      <c r="W376" s="71"/>
      <c r="X376" s="71"/>
      <c r="Y376" s="71"/>
      <c r="Z376" s="71"/>
      <c r="AA376" s="71"/>
      <c r="AB376" s="71"/>
      <c r="AC376" s="71"/>
      <c r="AD376" s="71"/>
      <c r="AE376" s="71"/>
      <c r="AF376" s="71"/>
      <c r="AG376" s="94"/>
      <c r="AH376" s="71"/>
      <c r="AI376" s="71"/>
      <c r="AJ376" s="71"/>
      <c r="AK376" s="71">
        <f>SUBTOTAL(9,L376:AJ376)</f>
        <v>0</v>
      </c>
      <c r="AL376" s="79">
        <f>+J376*AK376</f>
        <v>0</v>
      </c>
    </row>
    <row r="377" spans="1:38">
      <c r="A377" s="163">
        <v>375</v>
      </c>
      <c r="B377" s="182" t="s">
        <v>1334</v>
      </c>
      <c r="C377" s="182" t="s">
        <v>102</v>
      </c>
      <c r="D377" s="185" t="s">
        <v>1</v>
      </c>
      <c r="E377" s="164">
        <v>0</v>
      </c>
      <c r="F377" s="165">
        <v>0</v>
      </c>
      <c r="G377" s="165">
        <v>0</v>
      </c>
      <c r="H377" s="166">
        <v>0</v>
      </c>
      <c r="I377" s="167">
        <v>0</v>
      </c>
      <c r="J377" s="165">
        <v>0</v>
      </c>
      <c r="K377" s="168">
        <v>0</v>
      </c>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row>
    <row r="378" spans="1:38">
      <c r="A378" s="163">
        <v>376</v>
      </c>
      <c r="B378" s="182" t="s">
        <v>1335</v>
      </c>
      <c r="C378" s="182" t="s">
        <v>1336</v>
      </c>
      <c r="D378" s="185" t="s">
        <v>1</v>
      </c>
      <c r="E378" s="164">
        <v>0</v>
      </c>
      <c r="F378" s="165">
        <v>0</v>
      </c>
      <c r="G378" s="165">
        <v>0</v>
      </c>
      <c r="H378" s="166">
        <v>0</v>
      </c>
      <c r="I378" s="167">
        <v>0</v>
      </c>
      <c r="J378" s="165">
        <v>0</v>
      </c>
      <c r="K378" s="168">
        <v>0</v>
      </c>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row>
    <row r="379" spans="1:38">
      <c r="A379" s="163">
        <v>377</v>
      </c>
      <c r="B379" s="182" t="s">
        <v>1337</v>
      </c>
      <c r="C379" s="182" t="s">
        <v>1338</v>
      </c>
      <c r="D379" s="185" t="s">
        <v>1</v>
      </c>
      <c r="E379" s="164">
        <v>0</v>
      </c>
      <c r="F379" s="165">
        <v>0</v>
      </c>
      <c r="G379" s="165">
        <v>0</v>
      </c>
      <c r="H379" s="166">
        <v>0</v>
      </c>
      <c r="I379" s="167">
        <v>0</v>
      </c>
      <c r="J379" s="165">
        <v>0</v>
      </c>
      <c r="K379" s="168">
        <v>0</v>
      </c>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row>
    <row r="380" spans="1:38">
      <c r="A380" s="163">
        <v>378</v>
      </c>
      <c r="B380" s="182" t="s">
        <v>1339</v>
      </c>
      <c r="C380" s="182" t="s">
        <v>1340</v>
      </c>
      <c r="D380" s="185" t="s">
        <v>1</v>
      </c>
      <c r="E380" s="164">
        <v>0</v>
      </c>
      <c r="F380" s="165">
        <v>0</v>
      </c>
      <c r="G380" s="165">
        <v>0</v>
      </c>
      <c r="H380" s="166">
        <v>0</v>
      </c>
      <c r="I380" s="167">
        <v>0</v>
      </c>
      <c r="J380" s="165">
        <v>0</v>
      </c>
      <c r="K380" s="168">
        <v>0</v>
      </c>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row>
    <row r="381" spans="1:38">
      <c r="A381" s="163">
        <v>379</v>
      </c>
      <c r="B381" s="182" t="s">
        <v>1341</v>
      </c>
      <c r="C381" s="182" t="s">
        <v>1342</v>
      </c>
      <c r="D381" s="185" t="s">
        <v>1</v>
      </c>
      <c r="E381" s="164">
        <v>0</v>
      </c>
      <c r="F381" s="165">
        <v>0</v>
      </c>
      <c r="G381" s="165">
        <v>0</v>
      </c>
      <c r="H381" s="166">
        <v>0</v>
      </c>
      <c r="I381" s="167">
        <v>0</v>
      </c>
      <c r="J381" s="165">
        <v>0</v>
      </c>
      <c r="K381" s="168">
        <v>0</v>
      </c>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row>
    <row r="382" spans="1:38">
      <c r="A382" s="163">
        <v>380</v>
      </c>
      <c r="B382" s="182" t="s">
        <v>1343</v>
      </c>
      <c r="C382" s="182" t="s">
        <v>1344</v>
      </c>
      <c r="D382" s="185" t="s">
        <v>1</v>
      </c>
      <c r="E382" s="164">
        <v>0</v>
      </c>
      <c r="F382" s="165">
        <v>0</v>
      </c>
      <c r="G382" s="165">
        <v>0</v>
      </c>
      <c r="H382" s="166">
        <v>0</v>
      </c>
      <c r="I382" s="167">
        <v>0</v>
      </c>
      <c r="J382" s="165">
        <v>0</v>
      </c>
      <c r="K382" s="168">
        <v>0</v>
      </c>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row>
    <row r="383" spans="1:38">
      <c r="A383" s="163">
        <v>381</v>
      </c>
      <c r="B383" s="182" t="s">
        <v>1345</v>
      </c>
      <c r="C383" s="182" t="s">
        <v>1344</v>
      </c>
      <c r="D383" s="185" t="s">
        <v>1</v>
      </c>
      <c r="E383" s="164">
        <v>0</v>
      </c>
      <c r="F383" s="165">
        <v>0</v>
      </c>
      <c r="G383" s="165">
        <v>0</v>
      </c>
      <c r="H383" s="166">
        <v>0</v>
      </c>
      <c r="I383" s="167">
        <v>0</v>
      </c>
      <c r="J383" s="165">
        <v>0</v>
      </c>
      <c r="K383" s="168">
        <v>0</v>
      </c>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row>
    <row r="384" spans="1:38">
      <c r="A384" s="163">
        <v>382</v>
      </c>
      <c r="B384" s="182" t="s">
        <v>122</v>
      </c>
      <c r="C384" s="182" t="s">
        <v>1346</v>
      </c>
      <c r="D384" s="185" t="s">
        <v>1</v>
      </c>
      <c r="E384" s="164">
        <v>12</v>
      </c>
      <c r="F384" s="165">
        <v>98091</v>
      </c>
      <c r="G384" s="165">
        <v>26759</v>
      </c>
      <c r="H384" s="166">
        <v>0.25</v>
      </c>
      <c r="I384" s="167">
        <v>0.7954017188121234</v>
      </c>
      <c r="J384" s="165">
        <v>20069.25</v>
      </c>
      <c r="K384" s="168">
        <v>240831</v>
      </c>
      <c r="L384" s="71"/>
      <c r="M384" s="71"/>
      <c r="N384" s="91"/>
      <c r="O384" s="71"/>
      <c r="P384" s="71"/>
      <c r="Q384" s="71"/>
      <c r="R384" s="71"/>
      <c r="S384" s="71"/>
      <c r="T384" s="71"/>
      <c r="U384" s="71"/>
      <c r="V384" s="71"/>
      <c r="W384" s="71"/>
      <c r="X384" s="71"/>
      <c r="Y384" s="71"/>
      <c r="Z384" s="71"/>
      <c r="AA384" s="71"/>
      <c r="AB384" s="71"/>
      <c r="AC384" s="71"/>
      <c r="AD384" s="71"/>
      <c r="AE384" s="71"/>
      <c r="AF384" s="71"/>
      <c r="AG384" s="94"/>
      <c r="AH384" s="71"/>
      <c r="AI384" s="71"/>
      <c r="AJ384" s="71"/>
      <c r="AK384" s="71">
        <f>SUBTOTAL(9,L384:AJ384)</f>
        <v>0</v>
      </c>
      <c r="AL384" s="79">
        <f>+J384*AK384</f>
        <v>0</v>
      </c>
    </row>
    <row r="385" spans="1:38">
      <c r="A385" s="163">
        <v>383</v>
      </c>
      <c r="B385" s="182" t="s">
        <v>1347</v>
      </c>
      <c r="C385" s="182" t="s">
        <v>123</v>
      </c>
      <c r="D385" s="185" t="s">
        <v>1</v>
      </c>
      <c r="E385" s="164">
        <v>0</v>
      </c>
      <c r="F385" s="165">
        <v>0</v>
      </c>
      <c r="G385" s="165">
        <v>0</v>
      </c>
      <c r="H385" s="166">
        <v>0</v>
      </c>
      <c r="I385" s="167">
        <v>0</v>
      </c>
      <c r="J385" s="165">
        <v>0</v>
      </c>
      <c r="K385" s="168">
        <v>0</v>
      </c>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row>
    <row r="386" spans="1:38">
      <c r="A386" s="163">
        <v>384</v>
      </c>
      <c r="B386" s="182" t="s">
        <v>7</v>
      </c>
      <c r="C386" s="182" t="s">
        <v>1348</v>
      </c>
      <c r="D386" s="185" t="s">
        <v>104</v>
      </c>
      <c r="E386" s="164">
        <v>11</v>
      </c>
      <c r="F386" s="165">
        <v>113728</v>
      </c>
      <c r="G386" s="165">
        <v>73463</v>
      </c>
      <c r="H386" s="166">
        <v>0.25</v>
      </c>
      <c r="I386" s="167">
        <v>0.51553487267867193</v>
      </c>
      <c r="J386" s="165">
        <v>55097.25</v>
      </c>
      <c r="K386" s="168">
        <v>606069.75</v>
      </c>
      <c r="L386" s="71"/>
      <c r="M386" s="71"/>
      <c r="N386" s="91"/>
      <c r="O386" s="71"/>
      <c r="P386" s="71"/>
      <c r="Q386" s="71"/>
      <c r="R386" s="71"/>
      <c r="S386" s="71"/>
      <c r="T386" s="71"/>
      <c r="U386" s="71"/>
      <c r="V386" s="71"/>
      <c r="W386" s="71"/>
      <c r="X386" s="71"/>
      <c r="Y386" s="71"/>
      <c r="Z386" s="71"/>
      <c r="AA386" s="71"/>
      <c r="AB386" s="71"/>
      <c r="AC386" s="71"/>
      <c r="AD386" s="71"/>
      <c r="AE386" s="71"/>
      <c r="AF386" s="71"/>
      <c r="AG386" s="94"/>
      <c r="AH386" s="71"/>
      <c r="AI386" s="71"/>
      <c r="AJ386" s="71"/>
      <c r="AK386" s="71">
        <f>SUBTOTAL(9,L386:AJ386)</f>
        <v>0</v>
      </c>
      <c r="AL386" s="79">
        <f>+J386*AK386</f>
        <v>0</v>
      </c>
    </row>
    <row r="387" spans="1:38">
      <c r="A387" s="163">
        <v>385</v>
      </c>
      <c r="B387" s="182" t="s">
        <v>1349</v>
      </c>
      <c r="C387" s="182" t="s">
        <v>103</v>
      </c>
      <c r="D387" s="185" t="s">
        <v>104</v>
      </c>
      <c r="E387" s="164">
        <v>0</v>
      </c>
      <c r="F387" s="165">
        <v>0</v>
      </c>
      <c r="G387" s="165">
        <v>0</v>
      </c>
      <c r="H387" s="166">
        <v>0</v>
      </c>
      <c r="I387" s="167">
        <v>0</v>
      </c>
      <c r="J387" s="165">
        <v>0</v>
      </c>
      <c r="K387" s="168">
        <v>0</v>
      </c>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row>
    <row r="388" spans="1:38">
      <c r="A388" s="163">
        <v>386</v>
      </c>
      <c r="B388" s="182" t="s">
        <v>105</v>
      </c>
      <c r="C388" s="182" t="s">
        <v>1350</v>
      </c>
      <c r="D388" s="185" t="s">
        <v>1</v>
      </c>
      <c r="E388" s="164">
        <v>7</v>
      </c>
      <c r="F388" s="165">
        <v>120836</v>
      </c>
      <c r="G388" s="165">
        <v>75410</v>
      </c>
      <c r="H388" s="166">
        <v>0.25</v>
      </c>
      <c r="I388" s="167">
        <v>0.53194826045218313</v>
      </c>
      <c r="J388" s="165">
        <v>56557.5</v>
      </c>
      <c r="K388" s="168">
        <v>395902.5</v>
      </c>
      <c r="L388" s="71"/>
      <c r="M388" s="71"/>
      <c r="N388" s="91"/>
      <c r="O388" s="71"/>
      <c r="P388" s="71"/>
      <c r="Q388" s="71"/>
      <c r="R388" s="71"/>
      <c r="S388" s="71"/>
      <c r="T388" s="71"/>
      <c r="U388" s="71"/>
      <c r="V388" s="71"/>
      <c r="W388" s="71"/>
      <c r="X388" s="71"/>
      <c r="Y388" s="71"/>
      <c r="Z388" s="71"/>
      <c r="AA388" s="71"/>
      <c r="AB388" s="71"/>
      <c r="AC388" s="71"/>
      <c r="AD388" s="71"/>
      <c r="AE388" s="71"/>
      <c r="AF388" s="71"/>
      <c r="AG388" s="94"/>
      <c r="AH388" s="71"/>
      <c r="AI388" s="71"/>
      <c r="AJ388" s="71"/>
      <c r="AK388" s="71">
        <f>SUBTOTAL(9,L388:AJ388)</f>
        <v>0</v>
      </c>
      <c r="AL388" s="79">
        <f>+J388*AK388</f>
        <v>0</v>
      </c>
    </row>
    <row r="389" spans="1:38">
      <c r="A389" s="163">
        <v>387</v>
      </c>
      <c r="B389" s="182" t="s">
        <v>1351</v>
      </c>
      <c r="C389" s="182" t="s">
        <v>106</v>
      </c>
      <c r="D389" s="185" t="s">
        <v>1</v>
      </c>
      <c r="E389" s="164">
        <v>0</v>
      </c>
      <c r="F389" s="165">
        <v>0</v>
      </c>
      <c r="G389" s="165">
        <v>0</v>
      </c>
      <c r="H389" s="166">
        <v>0</v>
      </c>
      <c r="I389" s="167">
        <v>0</v>
      </c>
      <c r="J389" s="165">
        <v>0</v>
      </c>
      <c r="K389" s="168">
        <v>0</v>
      </c>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row>
    <row r="390" spans="1:38">
      <c r="A390" s="163">
        <v>388</v>
      </c>
      <c r="B390" s="182" t="s">
        <v>107</v>
      </c>
      <c r="C390" s="182" t="s">
        <v>1352</v>
      </c>
      <c r="D390" s="185" t="s">
        <v>1</v>
      </c>
      <c r="E390" s="164">
        <v>16</v>
      </c>
      <c r="F390" s="165">
        <v>120836</v>
      </c>
      <c r="G390" s="165">
        <v>116818</v>
      </c>
      <c r="H390" s="166">
        <v>0.25</v>
      </c>
      <c r="I390" s="167">
        <v>0.27493875997219375</v>
      </c>
      <c r="J390" s="165">
        <v>87613.5</v>
      </c>
      <c r="K390" s="168">
        <v>1401816</v>
      </c>
      <c r="L390" s="71"/>
      <c r="M390" s="71"/>
      <c r="N390" s="91"/>
      <c r="O390" s="71"/>
      <c r="P390" s="71"/>
      <c r="Q390" s="71"/>
      <c r="R390" s="71"/>
      <c r="S390" s="71"/>
      <c r="T390" s="71"/>
      <c r="U390" s="71"/>
      <c r="V390" s="71"/>
      <c r="W390" s="71"/>
      <c r="X390" s="71"/>
      <c r="Y390" s="71"/>
      <c r="Z390" s="71"/>
      <c r="AA390" s="71"/>
      <c r="AB390" s="71"/>
      <c r="AC390" s="71"/>
      <c r="AD390" s="71"/>
      <c r="AE390" s="71"/>
      <c r="AF390" s="71"/>
      <c r="AG390" s="94"/>
      <c r="AH390" s="71"/>
      <c r="AI390" s="71"/>
      <c r="AJ390" s="71"/>
      <c r="AK390" s="71">
        <f>SUBTOTAL(9,L390:AJ390)</f>
        <v>0</v>
      </c>
      <c r="AL390" s="79">
        <f>+J390*AK390</f>
        <v>0</v>
      </c>
    </row>
    <row r="391" spans="1:38">
      <c r="A391" s="163">
        <v>389</v>
      </c>
      <c r="B391" s="182" t="s">
        <v>1353</v>
      </c>
      <c r="C391" s="182" t="s">
        <v>108</v>
      </c>
      <c r="D391" s="185" t="s">
        <v>1</v>
      </c>
      <c r="E391" s="164">
        <v>0</v>
      </c>
      <c r="F391" s="165">
        <v>0</v>
      </c>
      <c r="G391" s="165">
        <v>0</v>
      </c>
      <c r="H391" s="166">
        <v>0</v>
      </c>
      <c r="I391" s="167">
        <v>0</v>
      </c>
      <c r="J391" s="165">
        <v>0</v>
      </c>
      <c r="K391" s="168">
        <v>0</v>
      </c>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row>
    <row r="392" spans="1:38">
      <c r="A392" s="163">
        <v>390</v>
      </c>
      <c r="B392" s="182" t="s">
        <v>109</v>
      </c>
      <c r="C392" s="182" t="s">
        <v>1354</v>
      </c>
      <c r="D392" s="185" t="s">
        <v>1</v>
      </c>
      <c r="E392" s="164">
        <v>5</v>
      </c>
      <c r="F392" s="165">
        <v>113728</v>
      </c>
      <c r="G392" s="165">
        <v>66522</v>
      </c>
      <c r="H392" s="166">
        <v>0.25</v>
      </c>
      <c r="I392" s="167">
        <v>0.56130856077658975</v>
      </c>
      <c r="J392" s="165">
        <v>49891.5</v>
      </c>
      <c r="K392" s="168">
        <v>249457.5</v>
      </c>
      <c r="L392" s="71"/>
      <c r="M392" s="71"/>
      <c r="N392" s="91"/>
      <c r="O392" s="71"/>
      <c r="P392" s="71"/>
      <c r="Q392" s="71"/>
      <c r="R392" s="71"/>
      <c r="S392" s="71"/>
      <c r="T392" s="71"/>
      <c r="U392" s="71"/>
      <c r="V392" s="71"/>
      <c r="W392" s="71"/>
      <c r="X392" s="71"/>
      <c r="Y392" s="71"/>
      <c r="Z392" s="71"/>
      <c r="AA392" s="71"/>
      <c r="AB392" s="71"/>
      <c r="AC392" s="71"/>
      <c r="AD392" s="71"/>
      <c r="AE392" s="71"/>
      <c r="AF392" s="71"/>
      <c r="AG392" s="94"/>
      <c r="AH392" s="71"/>
      <c r="AI392" s="71"/>
      <c r="AJ392" s="71"/>
      <c r="AK392" s="71">
        <f>SUBTOTAL(9,L392:AJ392)</f>
        <v>0</v>
      </c>
      <c r="AL392" s="79">
        <f>+J392*AK392</f>
        <v>0</v>
      </c>
    </row>
    <row r="393" spans="1:38">
      <c r="A393" s="163">
        <v>391</v>
      </c>
      <c r="B393" s="182" t="s">
        <v>1355</v>
      </c>
      <c r="C393" s="182" t="s">
        <v>110</v>
      </c>
      <c r="D393" s="185" t="s">
        <v>1</v>
      </c>
      <c r="E393" s="164">
        <v>0</v>
      </c>
      <c r="F393" s="165">
        <v>0</v>
      </c>
      <c r="G393" s="165">
        <v>0</v>
      </c>
      <c r="H393" s="166">
        <v>0</v>
      </c>
      <c r="I393" s="167">
        <v>0</v>
      </c>
      <c r="J393" s="165">
        <v>0</v>
      </c>
      <c r="K393" s="168">
        <v>0</v>
      </c>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row>
    <row r="394" spans="1:38">
      <c r="A394" s="163">
        <v>392</v>
      </c>
      <c r="B394" s="182" t="s">
        <v>1356</v>
      </c>
      <c r="C394" s="182" t="s">
        <v>1357</v>
      </c>
      <c r="D394" s="185" t="s">
        <v>1</v>
      </c>
      <c r="E394" s="164">
        <v>0</v>
      </c>
      <c r="F394" s="165">
        <v>0</v>
      </c>
      <c r="G394" s="165">
        <v>0</v>
      </c>
      <c r="H394" s="166">
        <v>0</v>
      </c>
      <c r="I394" s="167">
        <v>0</v>
      </c>
      <c r="J394" s="165">
        <v>0</v>
      </c>
      <c r="K394" s="168">
        <v>0</v>
      </c>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row>
    <row r="395" spans="1:38">
      <c r="A395" s="163">
        <v>393</v>
      </c>
      <c r="B395" s="182" t="s">
        <v>1358</v>
      </c>
      <c r="C395" s="182" t="s">
        <v>1357</v>
      </c>
      <c r="D395" s="185" t="s">
        <v>1</v>
      </c>
      <c r="E395" s="164">
        <v>0</v>
      </c>
      <c r="F395" s="165">
        <v>0</v>
      </c>
      <c r="G395" s="165">
        <v>0</v>
      </c>
      <c r="H395" s="166">
        <v>0</v>
      </c>
      <c r="I395" s="167">
        <v>0</v>
      </c>
      <c r="J395" s="165">
        <v>0</v>
      </c>
      <c r="K395" s="168">
        <v>0</v>
      </c>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row>
    <row r="396" spans="1:38">
      <c r="A396" s="163">
        <v>394</v>
      </c>
      <c r="B396" s="182" t="s">
        <v>8</v>
      </c>
      <c r="C396" s="182" t="s">
        <v>1359</v>
      </c>
      <c r="D396" s="185" t="s">
        <v>1</v>
      </c>
      <c r="E396" s="164">
        <v>6</v>
      </c>
      <c r="F396" s="165">
        <v>106620</v>
      </c>
      <c r="G396" s="165">
        <v>87259</v>
      </c>
      <c r="H396" s="166">
        <v>0.25</v>
      </c>
      <c r="I396" s="167">
        <v>0.38619161508159816</v>
      </c>
      <c r="J396" s="165">
        <v>65444.25</v>
      </c>
      <c r="K396" s="168">
        <v>392665.5</v>
      </c>
      <c r="L396" s="71"/>
      <c r="M396" s="71"/>
      <c r="N396" s="91"/>
      <c r="O396" s="71"/>
      <c r="P396" s="71"/>
      <c r="Q396" s="71"/>
      <c r="R396" s="71"/>
      <c r="S396" s="71"/>
      <c r="T396" s="71"/>
      <c r="U396" s="71"/>
      <c r="V396" s="71"/>
      <c r="W396" s="71"/>
      <c r="X396" s="71"/>
      <c r="Y396" s="71"/>
      <c r="Z396" s="71"/>
      <c r="AA396" s="71"/>
      <c r="AB396" s="71"/>
      <c r="AC396" s="71"/>
      <c r="AD396" s="71"/>
      <c r="AE396" s="71"/>
      <c r="AF396" s="71"/>
      <c r="AG396" s="94"/>
      <c r="AH396" s="71"/>
      <c r="AI396" s="71"/>
      <c r="AJ396" s="71"/>
      <c r="AK396" s="71">
        <f>SUBTOTAL(9,L396:AJ396)</f>
        <v>0</v>
      </c>
      <c r="AL396" s="79">
        <f>+J396*AK396</f>
        <v>0</v>
      </c>
    </row>
    <row r="397" spans="1:38">
      <c r="A397" s="163">
        <v>395</v>
      </c>
      <c r="B397" s="182" t="s">
        <v>1360</v>
      </c>
      <c r="C397" s="182" t="s">
        <v>111</v>
      </c>
      <c r="D397" s="185" t="s">
        <v>1</v>
      </c>
      <c r="E397" s="164">
        <v>0</v>
      </c>
      <c r="F397" s="165">
        <v>0</v>
      </c>
      <c r="G397" s="165">
        <v>0</v>
      </c>
      <c r="H397" s="166">
        <v>0</v>
      </c>
      <c r="I397" s="167">
        <v>0</v>
      </c>
      <c r="J397" s="165">
        <v>0</v>
      </c>
      <c r="K397" s="168">
        <v>0</v>
      </c>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row>
    <row r="398" spans="1:38">
      <c r="A398" s="163">
        <v>396</v>
      </c>
      <c r="B398" s="182" t="s">
        <v>112</v>
      </c>
      <c r="C398" s="182" t="s">
        <v>1361</v>
      </c>
      <c r="D398" s="185" t="s">
        <v>1</v>
      </c>
      <c r="E398" s="164">
        <v>2</v>
      </c>
      <c r="F398" s="165">
        <v>85296</v>
      </c>
      <c r="G398" s="165">
        <v>39849</v>
      </c>
      <c r="H398" s="166">
        <v>0.19999999999999998</v>
      </c>
      <c r="I398" s="167">
        <v>0.62625211029825545</v>
      </c>
      <c r="J398" s="165">
        <v>31879.200000000001</v>
      </c>
      <c r="K398" s="168">
        <v>63758.400000000001</v>
      </c>
      <c r="L398" s="71"/>
      <c r="M398" s="71"/>
      <c r="N398" s="91"/>
      <c r="O398" s="71"/>
      <c r="P398" s="71"/>
      <c r="Q398" s="71"/>
      <c r="R398" s="71"/>
      <c r="S398" s="71"/>
      <c r="T398" s="71"/>
      <c r="U398" s="71"/>
      <c r="V398" s="71"/>
      <c r="W398" s="71"/>
      <c r="X398" s="71"/>
      <c r="Y398" s="71"/>
      <c r="Z398" s="71"/>
      <c r="AA398" s="71"/>
      <c r="AB398" s="71"/>
      <c r="AC398" s="71"/>
      <c r="AD398" s="71"/>
      <c r="AE398" s="71"/>
      <c r="AF398" s="71"/>
      <c r="AG398" s="94"/>
      <c r="AH398" s="71"/>
      <c r="AI398" s="71"/>
      <c r="AJ398" s="71"/>
      <c r="AK398" s="71">
        <f>SUBTOTAL(9,L398:AJ398)</f>
        <v>0</v>
      </c>
      <c r="AL398" s="79">
        <f>+J398*AK398</f>
        <v>0</v>
      </c>
    </row>
    <row r="399" spans="1:38">
      <c r="A399" s="163">
        <v>397</v>
      </c>
      <c r="B399" s="182" t="s">
        <v>1362</v>
      </c>
      <c r="C399" s="182" t="s">
        <v>113</v>
      </c>
      <c r="D399" s="185" t="s">
        <v>1</v>
      </c>
      <c r="E399" s="164">
        <v>0</v>
      </c>
      <c r="F399" s="165">
        <v>0</v>
      </c>
      <c r="G399" s="165">
        <v>0</v>
      </c>
      <c r="H399" s="166">
        <v>0</v>
      </c>
      <c r="I399" s="167">
        <v>0</v>
      </c>
      <c r="J399" s="165">
        <v>0</v>
      </c>
      <c r="K399" s="168">
        <v>0</v>
      </c>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row>
    <row r="400" spans="1:38">
      <c r="A400" s="163">
        <v>398</v>
      </c>
      <c r="B400" s="182" t="s">
        <v>120</v>
      </c>
      <c r="C400" s="182" t="s">
        <v>1363</v>
      </c>
      <c r="D400" s="185" t="s">
        <v>1</v>
      </c>
      <c r="E400" s="164">
        <v>3</v>
      </c>
      <c r="F400" s="165">
        <v>11373</v>
      </c>
      <c r="G400" s="165">
        <v>4629</v>
      </c>
      <c r="H400" s="166">
        <v>0.20000000000000004</v>
      </c>
      <c r="I400" s="167">
        <v>0.67438670535478762</v>
      </c>
      <c r="J400" s="165">
        <v>3703.2</v>
      </c>
      <c r="K400" s="168">
        <v>11109.599999999999</v>
      </c>
      <c r="L400" s="71"/>
      <c r="M400" s="71"/>
      <c r="N400" s="91"/>
      <c r="O400" s="71"/>
      <c r="P400" s="71"/>
      <c r="Q400" s="71"/>
      <c r="R400" s="71"/>
      <c r="S400" s="71"/>
      <c r="T400" s="71"/>
      <c r="U400" s="71"/>
      <c r="V400" s="71"/>
      <c r="W400" s="71"/>
      <c r="X400" s="71"/>
      <c r="Y400" s="71"/>
      <c r="Z400" s="71"/>
      <c r="AA400" s="71"/>
      <c r="AB400" s="71"/>
      <c r="AC400" s="71"/>
      <c r="AD400" s="71"/>
      <c r="AE400" s="71"/>
      <c r="AF400" s="71"/>
      <c r="AG400" s="94"/>
      <c r="AH400" s="71"/>
      <c r="AI400" s="71"/>
      <c r="AJ400" s="71"/>
      <c r="AK400" s="71">
        <f>SUBTOTAL(9,L400:AJ400)</f>
        <v>0</v>
      </c>
      <c r="AL400" s="79">
        <f>+J400*AK400</f>
        <v>0</v>
      </c>
    </row>
    <row r="401" spans="1:38">
      <c r="A401" s="163">
        <v>399</v>
      </c>
      <c r="B401" s="182" t="s">
        <v>1364</v>
      </c>
      <c r="C401" s="182" t="s">
        <v>121</v>
      </c>
      <c r="D401" s="185" t="s">
        <v>1</v>
      </c>
      <c r="E401" s="164">
        <v>0</v>
      </c>
      <c r="F401" s="165">
        <v>0</v>
      </c>
      <c r="G401" s="165">
        <v>0</v>
      </c>
      <c r="H401" s="166">
        <v>0</v>
      </c>
      <c r="I401" s="167">
        <v>0</v>
      </c>
      <c r="J401" s="165">
        <v>0</v>
      </c>
      <c r="K401" s="168">
        <v>0</v>
      </c>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row>
    <row r="402" spans="1:38">
      <c r="A402" s="163">
        <v>400</v>
      </c>
      <c r="B402" s="182" t="s">
        <v>1365</v>
      </c>
      <c r="C402" s="182" t="s">
        <v>1366</v>
      </c>
      <c r="D402" s="185" t="s">
        <v>1</v>
      </c>
      <c r="E402" s="164">
        <v>0</v>
      </c>
      <c r="F402" s="165">
        <v>0</v>
      </c>
      <c r="G402" s="165">
        <v>0</v>
      </c>
      <c r="H402" s="166">
        <v>0</v>
      </c>
      <c r="I402" s="167">
        <v>0</v>
      </c>
      <c r="J402" s="165">
        <v>0</v>
      </c>
      <c r="K402" s="168">
        <v>0</v>
      </c>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row>
    <row r="403" spans="1:38">
      <c r="A403" s="163">
        <v>401</v>
      </c>
      <c r="B403" s="182" t="s">
        <v>1367</v>
      </c>
      <c r="C403" s="182" t="s">
        <v>1368</v>
      </c>
      <c r="D403" s="185" t="s">
        <v>1</v>
      </c>
      <c r="E403" s="164">
        <v>0</v>
      </c>
      <c r="F403" s="165">
        <v>0</v>
      </c>
      <c r="G403" s="165">
        <v>0</v>
      </c>
      <c r="H403" s="166">
        <v>0</v>
      </c>
      <c r="I403" s="167">
        <v>0</v>
      </c>
      <c r="J403" s="165">
        <v>0</v>
      </c>
      <c r="K403" s="168">
        <v>0</v>
      </c>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row>
    <row r="404" spans="1:38">
      <c r="A404" s="163">
        <v>402</v>
      </c>
      <c r="B404" s="182" t="s">
        <v>1369</v>
      </c>
      <c r="C404" s="182" t="s">
        <v>1370</v>
      </c>
      <c r="D404" s="185" t="s">
        <v>1</v>
      </c>
      <c r="E404" s="164">
        <v>0</v>
      </c>
      <c r="F404" s="165">
        <v>0</v>
      </c>
      <c r="G404" s="165">
        <v>0</v>
      </c>
      <c r="H404" s="166">
        <v>0</v>
      </c>
      <c r="I404" s="167">
        <v>0</v>
      </c>
      <c r="J404" s="165">
        <v>0</v>
      </c>
      <c r="K404" s="168">
        <v>0</v>
      </c>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row>
    <row r="405" spans="1:38">
      <c r="A405" s="163">
        <v>403</v>
      </c>
      <c r="B405" s="182" t="s">
        <v>1371</v>
      </c>
      <c r="C405" s="182" t="s">
        <v>1370</v>
      </c>
      <c r="D405" s="185" t="s">
        <v>1</v>
      </c>
      <c r="E405" s="164">
        <v>0</v>
      </c>
      <c r="F405" s="165">
        <v>0</v>
      </c>
      <c r="G405" s="165">
        <v>0</v>
      </c>
      <c r="H405" s="166">
        <v>0</v>
      </c>
      <c r="I405" s="167">
        <v>0</v>
      </c>
      <c r="J405" s="165">
        <v>0</v>
      </c>
      <c r="K405" s="168">
        <v>0</v>
      </c>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row>
    <row r="406" spans="1:38">
      <c r="A406" s="163">
        <v>404</v>
      </c>
      <c r="B406" s="182" t="s">
        <v>114</v>
      </c>
      <c r="C406" s="182" t="s">
        <v>1372</v>
      </c>
      <c r="D406" s="185" t="s">
        <v>1</v>
      </c>
      <c r="E406" s="164">
        <v>3</v>
      </c>
      <c r="F406" s="165">
        <v>116571</v>
      </c>
      <c r="G406" s="165">
        <v>45164</v>
      </c>
      <c r="H406" s="166">
        <v>0.20000000000000007</v>
      </c>
      <c r="I406" s="167">
        <v>0.69004984086951304</v>
      </c>
      <c r="J406" s="165">
        <v>36131.199999999997</v>
      </c>
      <c r="K406" s="168">
        <v>108393.59999999999</v>
      </c>
      <c r="L406" s="71"/>
      <c r="M406" s="71"/>
      <c r="N406" s="91"/>
      <c r="O406" s="71"/>
      <c r="P406" s="71"/>
      <c r="Q406" s="71"/>
      <c r="R406" s="71"/>
      <c r="S406" s="71"/>
      <c r="T406" s="71"/>
      <c r="U406" s="71"/>
      <c r="V406" s="71"/>
      <c r="W406" s="71"/>
      <c r="X406" s="71"/>
      <c r="Y406" s="71"/>
      <c r="Z406" s="71"/>
      <c r="AA406" s="71"/>
      <c r="AB406" s="71"/>
      <c r="AC406" s="71"/>
      <c r="AD406" s="71"/>
      <c r="AE406" s="71"/>
      <c r="AF406" s="71"/>
      <c r="AG406" s="94"/>
      <c r="AH406" s="71"/>
      <c r="AI406" s="71"/>
      <c r="AJ406" s="71"/>
      <c r="AK406" s="71">
        <f>SUBTOTAL(9,L406:AJ406)</f>
        <v>0</v>
      </c>
      <c r="AL406" s="79">
        <f>+J406*AK406</f>
        <v>0</v>
      </c>
    </row>
    <row r="407" spans="1:38">
      <c r="AL407" s="199">
        <f>SUBTOTAL(9,AL3:AL406)</f>
        <v>62159212.799999997</v>
      </c>
    </row>
  </sheetData>
  <autoFilter ref="A1:AL406"/>
  <conditionalFormatting sqref="E2:E406">
    <cfRule type="cellIs" dxfId="47" priority="1" operator="equal">
      <formula>0</formula>
    </cfRule>
  </conditionalFormatting>
  <conditionalFormatting sqref="F2:H406 J2:J406">
    <cfRule type="expression" dxfId="46" priority="3">
      <formula>ISERROR($K2)</formula>
    </cfRule>
  </conditionalFormatting>
  <conditionalFormatting sqref="K2:K406">
    <cfRule type="expression" dxfId="45" priority="2">
      <formula>ISERROR(K2)</formula>
    </cfRule>
  </conditionalFormatting>
  <dataValidations count="3">
    <dataValidation operator="lessThan" allowBlank="1" showErrorMessage="1" errorTitle="Error" error="El valor es menor que el minimo permitido" sqref="J2:J406"/>
    <dataValidation type="decimal" allowBlank="1" showInputMessage="1" showErrorMessage="1" errorTitle="Descuento no valido" error="Solo la mitad de los items pueden tener un descuento máximo del 25%._x000a__x000a_La otra mitad puede tener un descuento máximo del 20%." sqref="H2:H406">
      <formula1>-1</formula1>
      <formula2>$J$11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2:I406">
      <formula1>H2&lt;$J$11</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197"/>
  <sheetViews>
    <sheetView tabSelected="1" workbookViewId="0">
      <selection activeCell="C196" sqref="C196"/>
    </sheetView>
  </sheetViews>
  <sheetFormatPr baseColWidth="10" defaultRowHeight="15"/>
  <cols>
    <col min="1" max="1" width="12.7109375" customWidth="1"/>
    <col min="2" max="2" width="21.140625" customWidth="1"/>
    <col min="3" max="3" width="13.42578125" style="85" customWidth="1"/>
    <col min="4" max="4" width="38.5703125" style="74" bestFit="1" customWidth="1"/>
    <col min="5" max="5" width="11.42578125" style="85" customWidth="1"/>
    <col min="6" max="6" width="9.140625" style="89" customWidth="1"/>
    <col min="7" max="9" width="12" style="110" hidden="1" customWidth="1"/>
    <col min="10" max="11" width="12" style="110" customWidth="1"/>
    <col min="12" max="12" width="14.7109375" customWidth="1"/>
    <col min="13" max="15" width="14.7109375" style="74" customWidth="1"/>
    <col min="16" max="16" width="11.42578125" style="74" customWidth="1"/>
  </cols>
  <sheetData>
    <row r="1" spans="1:16" ht="15.75">
      <c r="A1" s="64" t="s">
        <v>251</v>
      </c>
      <c r="B1" s="64" t="s">
        <v>252</v>
      </c>
      <c r="C1" s="84" t="s">
        <v>253</v>
      </c>
      <c r="D1" s="86" t="s">
        <v>254</v>
      </c>
      <c r="E1" s="87" t="s">
        <v>255</v>
      </c>
      <c r="F1" s="88" t="s">
        <v>470</v>
      </c>
      <c r="G1" s="109" t="s">
        <v>509</v>
      </c>
      <c r="H1" s="109" t="s">
        <v>516</v>
      </c>
      <c r="I1" s="109" t="s">
        <v>517</v>
      </c>
      <c r="J1" s="109"/>
      <c r="K1" s="109" t="s">
        <v>510</v>
      </c>
      <c r="L1" s="65" t="s">
        <v>256</v>
      </c>
      <c r="M1" s="72" t="s">
        <v>445</v>
      </c>
      <c r="N1" s="72" t="s">
        <v>447</v>
      </c>
      <c r="O1" s="72" t="s">
        <v>448</v>
      </c>
      <c r="P1" s="72" t="s">
        <v>446</v>
      </c>
    </row>
    <row r="2" spans="1:16" hidden="1">
      <c r="A2" s="122" t="s">
        <v>339</v>
      </c>
      <c r="B2" s="77" t="s">
        <v>373</v>
      </c>
      <c r="C2" s="115">
        <v>1005524163</v>
      </c>
      <c r="D2" s="123" t="s">
        <v>374</v>
      </c>
      <c r="E2" s="114">
        <v>45369</v>
      </c>
      <c r="F2" s="124">
        <v>30</v>
      </c>
      <c r="G2" s="119">
        <v>1440800</v>
      </c>
      <c r="H2" s="119">
        <f>+(1390000/30)*F2</f>
        <v>1390000</v>
      </c>
      <c r="I2" s="119">
        <f>+(((1390000*92%)+162000)/30)*F2</f>
        <v>1440800</v>
      </c>
      <c r="J2" s="119">
        <f t="shared" ref="J2:J33" si="0">+G2-I2</f>
        <v>0</v>
      </c>
      <c r="K2" s="119" t="s">
        <v>552</v>
      </c>
      <c r="L2" s="125" t="s">
        <v>341</v>
      </c>
      <c r="M2" s="123"/>
      <c r="N2" s="123"/>
      <c r="O2" s="123"/>
      <c r="P2" s="123"/>
    </row>
    <row r="3" spans="1:16" hidden="1">
      <c r="A3" s="122" t="s">
        <v>339</v>
      </c>
      <c r="B3" s="122" t="s">
        <v>373</v>
      </c>
      <c r="C3" s="115">
        <v>79761257</v>
      </c>
      <c r="D3" s="123" t="s">
        <v>375</v>
      </c>
      <c r="E3" s="114">
        <v>45369</v>
      </c>
      <c r="F3" s="124">
        <v>30</v>
      </c>
      <c r="G3" s="119">
        <v>1440800</v>
      </c>
      <c r="H3" s="119">
        <f>+(1390000/30)*F3</f>
        <v>1390000</v>
      </c>
      <c r="I3" s="119">
        <f>+(((1390000*92%)+162000)/30)*F3</f>
        <v>1440800</v>
      </c>
      <c r="J3" s="119">
        <f t="shared" si="0"/>
        <v>0</v>
      </c>
      <c r="K3" s="119" t="s">
        <v>552</v>
      </c>
      <c r="L3" s="125" t="s">
        <v>341</v>
      </c>
      <c r="M3" s="123"/>
      <c r="N3" s="123"/>
      <c r="O3" s="123"/>
      <c r="P3" s="123"/>
    </row>
    <row r="4" spans="1:16" ht="15" hidden="1" customHeight="1">
      <c r="A4" s="156" t="s">
        <v>286</v>
      </c>
      <c r="B4" s="127" t="s">
        <v>17</v>
      </c>
      <c r="C4" s="128">
        <v>1024550991</v>
      </c>
      <c r="D4" s="129" t="s">
        <v>287</v>
      </c>
      <c r="E4" s="116">
        <v>45369</v>
      </c>
      <c r="F4" s="128">
        <v>30</v>
      </c>
      <c r="G4" s="119">
        <v>1358000</v>
      </c>
      <c r="H4" s="119">
        <f t="shared" ref="H4:H11" si="1">+(1300000/30)*F4</f>
        <v>1300000</v>
      </c>
      <c r="I4" s="119">
        <f t="shared" ref="I4:I11" si="2">+(((1300000*92%)+162000)/30)*F4</f>
        <v>1358000</v>
      </c>
      <c r="J4" s="119">
        <f t="shared" si="0"/>
        <v>0</v>
      </c>
      <c r="K4" s="119" t="s">
        <v>551</v>
      </c>
      <c r="L4" s="125" t="s">
        <v>259</v>
      </c>
      <c r="M4" s="123"/>
      <c r="N4" s="123"/>
      <c r="O4" s="123"/>
      <c r="P4" s="123"/>
    </row>
    <row r="5" spans="1:16" ht="15" hidden="1" customHeight="1">
      <c r="A5" s="122" t="s">
        <v>420</v>
      </c>
      <c r="B5" s="127" t="s">
        <v>423</v>
      </c>
      <c r="C5" s="130">
        <v>1002269813</v>
      </c>
      <c r="D5" s="131" t="s">
        <v>424</v>
      </c>
      <c r="E5" s="114">
        <v>45369</v>
      </c>
      <c r="F5" s="124">
        <v>30</v>
      </c>
      <c r="G5" s="132">
        <v>1358000</v>
      </c>
      <c r="H5" s="119">
        <f t="shared" si="1"/>
        <v>1300000</v>
      </c>
      <c r="I5" s="119">
        <f t="shared" si="2"/>
        <v>1358000</v>
      </c>
      <c r="J5" s="119">
        <f t="shared" si="0"/>
        <v>0</v>
      </c>
      <c r="K5" s="132" t="s">
        <v>552</v>
      </c>
      <c r="L5" s="127" t="s">
        <v>408</v>
      </c>
      <c r="M5" s="131"/>
      <c r="N5" s="131"/>
      <c r="O5" s="131"/>
      <c r="P5" s="123"/>
    </row>
    <row r="6" spans="1:16" ht="15" hidden="1" customHeight="1">
      <c r="A6" s="122" t="s">
        <v>386</v>
      </c>
      <c r="B6" s="122" t="s">
        <v>17</v>
      </c>
      <c r="C6" s="115">
        <v>1000803836</v>
      </c>
      <c r="D6" s="123" t="s">
        <v>387</v>
      </c>
      <c r="E6" s="114">
        <v>45369</v>
      </c>
      <c r="F6" s="124">
        <v>30</v>
      </c>
      <c r="G6" s="119">
        <v>1358000</v>
      </c>
      <c r="H6" s="119">
        <f t="shared" si="1"/>
        <v>1300000</v>
      </c>
      <c r="I6" s="119">
        <f t="shared" si="2"/>
        <v>1358000</v>
      </c>
      <c r="J6" s="119">
        <f t="shared" si="0"/>
        <v>0</v>
      </c>
      <c r="K6" s="119" t="s">
        <v>552</v>
      </c>
      <c r="L6" s="125" t="s">
        <v>341</v>
      </c>
      <c r="M6" s="123"/>
      <c r="N6" s="123"/>
      <c r="O6" s="123"/>
      <c r="P6" s="123"/>
    </row>
    <row r="7" spans="1:16" hidden="1">
      <c r="A7" s="159" t="s">
        <v>1398</v>
      </c>
      <c r="B7" s="127" t="s">
        <v>17</v>
      </c>
      <c r="C7" s="130">
        <v>1033741958</v>
      </c>
      <c r="D7" s="131" t="s">
        <v>441</v>
      </c>
      <c r="E7" s="114">
        <v>45369</v>
      </c>
      <c r="F7" s="124">
        <v>30</v>
      </c>
      <c r="G7" s="132">
        <v>1358000</v>
      </c>
      <c r="H7" s="119">
        <f t="shared" si="1"/>
        <v>1300000</v>
      </c>
      <c r="I7" s="119">
        <f t="shared" si="2"/>
        <v>1358000</v>
      </c>
      <c r="J7" s="119">
        <f t="shared" si="0"/>
        <v>0</v>
      </c>
      <c r="K7" s="132" t="s">
        <v>552</v>
      </c>
      <c r="L7" s="127" t="s">
        <v>408</v>
      </c>
      <c r="M7" s="131"/>
      <c r="N7" s="131"/>
      <c r="O7" s="131"/>
      <c r="P7" s="73" t="s">
        <v>566</v>
      </c>
    </row>
    <row r="8" spans="1:16" hidden="1">
      <c r="A8" s="126" t="s">
        <v>320</v>
      </c>
      <c r="B8" s="129" t="s">
        <v>17</v>
      </c>
      <c r="C8" s="128">
        <v>53153000</v>
      </c>
      <c r="D8" s="129" t="s">
        <v>321</v>
      </c>
      <c r="E8" s="133">
        <v>45369</v>
      </c>
      <c r="F8" s="134">
        <v>30</v>
      </c>
      <c r="G8" s="135">
        <v>1358000</v>
      </c>
      <c r="H8" s="119">
        <f t="shared" si="1"/>
        <v>1300000</v>
      </c>
      <c r="I8" s="119">
        <f t="shared" si="2"/>
        <v>1358000</v>
      </c>
      <c r="J8" s="119">
        <f t="shared" si="0"/>
        <v>0</v>
      </c>
      <c r="K8" s="135" t="s">
        <v>552</v>
      </c>
      <c r="L8" s="136" t="s">
        <v>306</v>
      </c>
      <c r="M8" s="129"/>
      <c r="N8" s="129"/>
      <c r="O8" s="129"/>
      <c r="P8" s="73" t="s">
        <v>567</v>
      </c>
    </row>
    <row r="9" spans="1:16" ht="15" hidden="1" customHeight="1">
      <c r="A9" s="122" t="s">
        <v>339</v>
      </c>
      <c r="B9" s="122" t="s">
        <v>17</v>
      </c>
      <c r="C9" s="115">
        <v>1086727870</v>
      </c>
      <c r="D9" s="123" t="s">
        <v>342</v>
      </c>
      <c r="E9" s="114">
        <v>45369</v>
      </c>
      <c r="F9" s="124">
        <v>30</v>
      </c>
      <c r="G9" s="119">
        <v>1358000</v>
      </c>
      <c r="H9" s="119">
        <f t="shared" si="1"/>
        <v>1300000</v>
      </c>
      <c r="I9" s="119">
        <f t="shared" si="2"/>
        <v>1358000</v>
      </c>
      <c r="J9" s="119">
        <f t="shared" si="0"/>
        <v>0</v>
      </c>
      <c r="K9" s="119" t="s">
        <v>552</v>
      </c>
      <c r="L9" s="125" t="s">
        <v>341</v>
      </c>
      <c r="M9" s="123"/>
      <c r="N9" s="123"/>
      <c r="O9" s="123"/>
      <c r="P9" s="123"/>
    </row>
    <row r="10" spans="1:16" hidden="1">
      <c r="A10" s="156" t="s">
        <v>269</v>
      </c>
      <c r="B10" s="129" t="s">
        <v>17</v>
      </c>
      <c r="C10" s="128">
        <v>52122597</v>
      </c>
      <c r="D10" s="129" t="s">
        <v>270</v>
      </c>
      <c r="E10" s="116">
        <v>45369</v>
      </c>
      <c r="F10" s="137">
        <v>30</v>
      </c>
      <c r="G10" s="119">
        <v>1358000</v>
      </c>
      <c r="H10" s="119">
        <f t="shared" si="1"/>
        <v>1300000</v>
      </c>
      <c r="I10" s="119">
        <f t="shared" si="2"/>
        <v>1358000</v>
      </c>
      <c r="J10" s="119">
        <f t="shared" si="0"/>
        <v>0</v>
      </c>
      <c r="K10" s="119" t="s">
        <v>552</v>
      </c>
      <c r="L10" s="125" t="s">
        <v>259</v>
      </c>
      <c r="M10" s="123"/>
      <c r="N10" s="123"/>
      <c r="O10" s="123"/>
      <c r="P10" s="73" t="s">
        <v>562</v>
      </c>
    </row>
    <row r="11" spans="1:16" hidden="1">
      <c r="A11" s="122" t="s">
        <v>420</v>
      </c>
      <c r="B11" s="127" t="s">
        <v>17</v>
      </c>
      <c r="C11" s="130">
        <v>1031120358</v>
      </c>
      <c r="D11" s="131" t="s">
        <v>422</v>
      </c>
      <c r="E11" s="114">
        <v>45369</v>
      </c>
      <c r="F11" s="124">
        <v>30</v>
      </c>
      <c r="G11" s="132">
        <v>1358000</v>
      </c>
      <c r="H11" s="119">
        <f t="shared" si="1"/>
        <v>1300000</v>
      </c>
      <c r="I11" s="119">
        <f t="shared" si="2"/>
        <v>1358000</v>
      </c>
      <c r="J11" s="119">
        <f t="shared" si="0"/>
        <v>0</v>
      </c>
      <c r="K11" s="132" t="s">
        <v>552</v>
      </c>
      <c r="L11" s="127" t="s">
        <v>408</v>
      </c>
      <c r="M11" s="131"/>
      <c r="N11" s="131"/>
      <c r="O11" s="131"/>
      <c r="P11" s="123"/>
    </row>
    <row r="12" spans="1:16" hidden="1">
      <c r="A12" s="126" t="s">
        <v>259</v>
      </c>
      <c r="B12" s="129" t="s">
        <v>302</v>
      </c>
      <c r="C12" s="128">
        <v>1023941569</v>
      </c>
      <c r="D12" s="129" t="s">
        <v>303</v>
      </c>
      <c r="E12" s="116">
        <v>45369</v>
      </c>
      <c r="F12" s="149">
        <f>2+28</f>
        <v>30</v>
      </c>
      <c r="G12" s="119">
        <v>1654787</v>
      </c>
      <c r="H12" s="119">
        <f>+(1401000/30)*F12</f>
        <v>1401000</v>
      </c>
      <c r="I12" s="119">
        <f>+(((1401000*92%)+(162000+135000+95000))/30)*F12</f>
        <v>1680920</v>
      </c>
      <c r="J12" s="111">
        <f t="shared" si="0"/>
        <v>-26133</v>
      </c>
      <c r="K12" s="119" t="s">
        <v>552</v>
      </c>
      <c r="L12" s="125" t="s">
        <v>259</v>
      </c>
      <c r="M12" s="123"/>
      <c r="N12" s="123"/>
      <c r="O12" s="123"/>
      <c r="P12" s="123"/>
    </row>
    <row r="13" spans="1:16" s="150" customFormat="1" hidden="1">
      <c r="A13" s="75" t="s">
        <v>339</v>
      </c>
      <c r="B13" s="112" t="s">
        <v>17</v>
      </c>
      <c r="C13" s="128">
        <v>51909861</v>
      </c>
      <c r="D13" s="129" t="s">
        <v>531</v>
      </c>
      <c r="E13" s="116">
        <v>45407</v>
      </c>
      <c r="F13" s="149">
        <v>6</v>
      </c>
      <c r="G13" s="119">
        <v>271600</v>
      </c>
      <c r="H13" s="119">
        <f>+(1300000/30)*F13</f>
        <v>260000</v>
      </c>
      <c r="I13" s="119">
        <f>+(((1300000*92%)+162000)/30)*F13</f>
        <v>271600</v>
      </c>
      <c r="J13" s="119">
        <f t="shared" si="0"/>
        <v>0</v>
      </c>
      <c r="K13" s="119" t="s">
        <v>552</v>
      </c>
      <c r="L13" s="125"/>
      <c r="M13" s="123"/>
      <c r="N13" s="123"/>
      <c r="O13" s="123"/>
      <c r="P13" s="123"/>
    </row>
    <row r="14" spans="1:16" hidden="1">
      <c r="A14" s="159" t="s">
        <v>406</v>
      </c>
      <c r="B14" s="127" t="s">
        <v>17</v>
      </c>
      <c r="C14" s="130">
        <v>52164364</v>
      </c>
      <c r="D14" s="131" t="s">
        <v>412</v>
      </c>
      <c r="E14" s="114">
        <v>45369</v>
      </c>
      <c r="F14" s="124">
        <v>30</v>
      </c>
      <c r="G14" s="132">
        <v>1358000</v>
      </c>
      <c r="H14" s="119">
        <f>+(1300000/30)*F14</f>
        <v>1300000</v>
      </c>
      <c r="I14" s="119">
        <f>+(((1300000*92%)+162000)/30)*F14</f>
        <v>1358000</v>
      </c>
      <c r="J14" s="119">
        <f t="shared" si="0"/>
        <v>0</v>
      </c>
      <c r="K14" s="132" t="s">
        <v>552</v>
      </c>
      <c r="L14" s="127" t="s">
        <v>408</v>
      </c>
      <c r="M14" s="131"/>
      <c r="N14" s="131"/>
      <c r="O14" s="131"/>
      <c r="P14" s="73" t="s">
        <v>568</v>
      </c>
    </row>
    <row r="15" spans="1:16" hidden="1">
      <c r="A15" s="122" t="s">
        <v>339</v>
      </c>
      <c r="B15" s="122" t="s">
        <v>17</v>
      </c>
      <c r="C15" s="115">
        <v>1033717516</v>
      </c>
      <c r="D15" s="123" t="s">
        <v>343</v>
      </c>
      <c r="E15" s="114">
        <v>45374</v>
      </c>
      <c r="F15" s="124">
        <v>30</v>
      </c>
      <c r="G15" s="119">
        <v>1358000</v>
      </c>
      <c r="H15" s="119">
        <f>+(1300000/30)*F15</f>
        <v>1300000</v>
      </c>
      <c r="I15" s="119">
        <f>+(((1300000*92%)+162000)/30)*F15</f>
        <v>1358000</v>
      </c>
      <c r="J15" s="119">
        <f t="shared" si="0"/>
        <v>0</v>
      </c>
      <c r="K15" s="119" t="s">
        <v>556</v>
      </c>
      <c r="L15" s="125" t="s">
        <v>341</v>
      </c>
      <c r="M15" s="123"/>
      <c r="N15" s="123"/>
      <c r="O15" s="123"/>
      <c r="P15" s="123"/>
    </row>
    <row r="16" spans="1:16" hidden="1">
      <c r="A16" s="122" t="s">
        <v>339</v>
      </c>
      <c r="B16" s="122" t="s">
        <v>17</v>
      </c>
      <c r="C16" s="115">
        <v>35602050</v>
      </c>
      <c r="D16" s="123" t="s">
        <v>344</v>
      </c>
      <c r="E16" s="114">
        <v>45369</v>
      </c>
      <c r="F16" s="124">
        <v>30</v>
      </c>
      <c r="G16" s="118">
        <v>1358000</v>
      </c>
      <c r="H16" s="119">
        <f>+(1300000/30)*F16</f>
        <v>1300000</v>
      </c>
      <c r="I16" s="119">
        <f>+(((1300000*92%)+162000)/30)*F16</f>
        <v>1358000</v>
      </c>
      <c r="J16" s="119">
        <f t="shared" si="0"/>
        <v>0</v>
      </c>
      <c r="K16" s="119" t="s">
        <v>557</v>
      </c>
      <c r="L16" s="125" t="s">
        <v>341</v>
      </c>
      <c r="M16" s="123"/>
      <c r="N16" s="123"/>
      <c r="O16" s="123"/>
      <c r="P16" s="123"/>
    </row>
    <row r="17" spans="1:16" hidden="1">
      <c r="A17" s="159" t="s">
        <v>383</v>
      </c>
      <c r="B17" s="122" t="s">
        <v>17</v>
      </c>
      <c r="C17" s="115">
        <v>53005655</v>
      </c>
      <c r="D17" s="123" t="s">
        <v>384</v>
      </c>
      <c r="E17" s="114">
        <v>45369</v>
      </c>
      <c r="F17" s="124">
        <v>30</v>
      </c>
      <c r="G17" s="119">
        <v>1358000</v>
      </c>
      <c r="H17" s="119">
        <f>+(1300000/30)*F17</f>
        <v>1300000</v>
      </c>
      <c r="I17" s="119">
        <f>+(((1300000*92%)+162000)/30)*F17</f>
        <v>1358000</v>
      </c>
      <c r="J17" s="119">
        <f t="shared" si="0"/>
        <v>0</v>
      </c>
      <c r="K17" s="119" t="s">
        <v>551</v>
      </c>
      <c r="L17" s="125" t="s">
        <v>341</v>
      </c>
      <c r="M17" s="123"/>
      <c r="N17" s="123"/>
      <c r="O17" s="123"/>
      <c r="P17" s="123"/>
    </row>
    <row r="18" spans="1:16" hidden="1">
      <c r="A18" s="159" t="s">
        <v>400</v>
      </c>
      <c r="B18" s="122" t="s">
        <v>373</v>
      </c>
      <c r="C18" s="115">
        <v>1049945027</v>
      </c>
      <c r="D18" s="123" t="s">
        <v>401</v>
      </c>
      <c r="E18" s="114">
        <v>45369</v>
      </c>
      <c r="F18" s="124">
        <v>30</v>
      </c>
      <c r="G18" s="118">
        <v>1440800</v>
      </c>
      <c r="H18" s="119">
        <f>+(1390000/30)*F18</f>
        <v>1390000</v>
      </c>
      <c r="I18" s="119">
        <f>+(((1390000*92%)+162000)/30)*F18</f>
        <v>1440800</v>
      </c>
      <c r="J18" s="119">
        <f t="shared" si="0"/>
        <v>0</v>
      </c>
      <c r="K18" s="119" t="s">
        <v>556</v>
      </c>
      <c r="L18" s="125" t="s">
        <v>341</v>
      </c>
      <c r="M18" s="123"/>
      <c r="N18" s="123"/>
      <c r="O18" s="123"/>
      <c r="P18" s="123"/>
    </row>
    <row r="19" spans="1:16" hidden="1">
      <c r="A19" s="156" t="s">
        <v>298</v>
      </c>
      <c r="B19" s="129" t="s">
        <v>17</v>
      </c>
      <c r="C19" s="128">
        <v>1022344041</v>
      </c>
      <c r="D19" s="129" t="s">
        <v>299</v>
      </c>
      <c r="E19" s="116">
        <v>45369</v>
      </c>
      <c r="F19" s="137">
        <v>30</v>
      </c>
      <c r="G19" s="118">
        <v>1358000</v>
      </c>
      <c r="H19" s="119">
        <f t="shared" ref="H19:H29" si="3">+(1300000/30)*F19</f>
        <v>1300000</v>
      </c>
      <c r="I19" s="119">
        <f t="shared" ref="I19:I29" si="4">+(((1300000*92%)+162000)/30)*F19</f>
        <v>1358000</v>
      </c>
      <c r="J19" s="119">
        <f t="shared" si="0"/>
        <v>0</v>
      </c>
      <c r="K19" s="119" t="s">
        <v>552</v>
      </c>
      <c r="L19" s="125" t="s">
        <v>259</v>
      </c>
      <c r="M19" s="123"/>
      <c r="N19" s="123"/>
      <c r="O19" s="123"/>
      <c r="P19" s="73" t="s">
        <v>561</v>
      </c>
    </row>
    <row r="20" spans="1:16" hidden="1">
      <c r="A20" s="122" t="s">
        <v>339</v>
      </c>
      <c r="B20" s="122" t="s">
        <v>17</v>
      </c>
      <c r="C20" s="115">
        <v>64895144</v>
      </c>
      <c r="D20" s="123" t="s">
        <v>345</v>
      </c>
      <c r="E20" s="114">
        <v>45371</v>
      </c>
      <c r="F20" s="124">
        <v>30</v>
      </c>
      <c r="G20" s="119">
        <v>1358000</v>
      </c>
      <c r="H20" s="119">
        <f t="shared" si="3"/>
        <v>1300000</v>
      </c>
      <c r="I20" s="119">
        <f t="shared" si="4"/>
        <v>1358000</v>
      </c>
      <c r="J20" s="119">
        <f t="shared" si="0"/>
        <v>0</v>
      </c>
      <c r="K20" s="119" t="s">
        <v>551</v>
      </c>
      <c r="L20" s="125" t="s">
        <v>341</v>
      </c>
      <c r="M20" s="123"/>
      <c r="N20" s="123"/>
      <c r="O20" s="123"/>
      <c r="P20" s="123"/>
    </row>
    <row r="21" spans="1:16" hidden="1">
      <c r="A21" s="122" t="s">
        <v>386</v>
      </c>
      <c r="B21" s="122" t="s">
        <v>17</v>
      </c>
      <c r="C21" s="115">
        <v>1115948145</v>
      </c>
      <c r="D21" s="123" t="s">
        <v>471</v>
      </c>
      <c r="E21" s="114">
        <v>45369</v>
      </c>
      <c r="F21" s="124">
        <v>30</v>
      </c>
      <c r="G21" s="119">
        <v>1358000</v>
      </c>
      <c r="H21" s="119">
        <f t="shared" si="3"/>
        <v>1300000</v>
      </c>
      <c r="I21" s="119">
        <f t="shared" si="4"/>
        <v>1358000</v>
      </c>
      <c r="J21" s="119">
        <f t="shared" si="0"/>
        <v>0</v>
      </c>
      <c r="K21" s="119" t="s">
        <v>552</v>
      </c>
      <c r="L21" s="125" t="s">
        <v>341</v>
      </c>
      <c r="M21" s="123"/>
      <c r="N21" s="123"/>
      <c r="O21" s="123"/>
      <c r="P21" s="123"/>
    </row>
    <row r="22" spans="1:16" hidden="1">
      <c r="A22" s="122" t="s">
        <v>386</v>
      </c>
      <c r="B22" s="122" t="s">
        <v>17</v>
      </c>
      <c r="C22" s="115">
        <v>52365313</v>
      </c>
      <c r="D22" s="123" t="s">
        <v>515</v>
      </c>
      <c r="E22" s="114">
        <v>45374</v>
      </c>
      <c r="F22" s="124">
        <v>30</v>
      </c>
      <c r="G22" s="119">
        <v>1358000</v>
      </c>
      <c r="H22" s="119">
        <f t="shared" si="3"/>
        <v>1300000</v>
      </c>
      <c r="I22" s="119">
        <f t="shared" si="4"/>
        <v>1358000</v>
      </c>
      <c r="J22" s="119">
        <f t="shared" si="0"/>
        <v>0</v>
      </c>
      <c r="K22" s="118" t="s">
        <v>556</v>
      </c>
      <c r="L22" s="125" t="s">
        <v>341</v>
      </c>
      <c r="M22" s="123"/>
      <c r="N22" s="123"/>
      <c r="O22" s="123"/>
      <c r="P22" s="123"/>
    </row>
    <row r="23" spans="1:16" hidden="1">
      <c r="A23" s="122" t="s">
        <v>339</v>
      </c>
      <c r="B23" s="122" t="s">
        <v>17</v>
      </c>
      <c r="C23" s="115">
        <v>52870883</v>
      </c>
      <c r="D23" s="123" t="s">
        <v>346</v>
      </c>
      <c r="E23" s="114">
        <v>45369</v>
      </c>
      <c r="F23" s="124">
        <v>30</v>
      </c>
      <c r="G23" s="119">
        <v>1358000</v>
      </c>
      <c r="H23" s="119">
        <f t="shared" si="3"/>
        <v>1300000</v>
      </c>
      <c r="I23" s="119">
        <f t="shared" si="4"/>
        <v>1358000</v>
      </c>
      <c r="J23" s="119">
        <f t="shared" si="0"/>
        <v>0</v>
      </c>
      <c r="K23" s="119" t="s">
        <v>552</v>
      </c>
      <c r="L23" s="125" t="s">
        <v>341</v>
      </c>
      <c r="M23" s="123"/>
      <c r="N23" s="123"/>
      <c r="O23" s="123"/>
      <c r="P23" s="123"/>
    </row>
    <row r="24" spans="1:16" hidden="1">
      <c r="A24" s="122" t="s">
        <v>339</v>
      </c>
      <c r="B24" s="122" t="s">
        <v>17</v>
      </c>
      <c r="C24" s="115">
        <v>1032365672</v>
      </c>
      <c r="D24" s="123" t="s">
        <v>347</v>
      </c>
      <c r="E24" s="114">
        <v>45369</v>
      </c>
      <c r="F24" s="124">
        <v>30</v>
      </c>
      <c r="G24" s="119">
        <v>1358000</v>
      </c>
      <c r="H24" s="119">
        <f t="shared" si="3"/>
        <v>1300000</v>
      </c>
      <c r="I24" s="119">
        <f t="shared" si="4"/>
        <v>1358000</v>
      </c>
      <c r="J24" s="119">
        <f t="shared" si="0"/>
        <v>0</v>
      </c>
      <c r="K24" s="119" t="s">
        <v>552</v>
      </c>
      <c r="L24" s="125" t="s">
        <v>341</v>
      </c>
      <c r="M24" s="123"/>
      <c r="N24" s="123"/>
      <c r="O24" s="123"/>
      <c r="P24" s="123"/>
    </row>
    <row r="25" spans="1:16" hidden="1">
      <c r="A25" s="156" t="s">
        <v>286</v>
      </c>
      <c r="B25" s="127" t="s">
        <v>17</v>
      </c>
      <c r="C25" s="128">
        <v>1051737185</v>
      </c>
      <c r="D25" s="129" t="s">
        <v>297</v>
      </c>
      <c r="E25" s="117">
        <v>45374</v>
      </c>
      <c r="F25" s="138">
        <v>30</v>
      </c>
      <c r="G25" s="119">
        <v>1358000</v>
      </c>
      <c r="H25" s="119">
        <f t="shared" si="3"/>
        <v>1300000</v>
      </c>
      <c r="I25" s="119">
        <f t="shared" si="4"/>
        <v>1358000</v>
      </c>
      <c r="J25" s="119">
        <f t="shared" si="0"/>
        <v>0</v>
      </c>
      <c r="K25" s="119" t="s">
        <v>552</v>
      </c>
      <c r="L25" s="125" t="s">
        <v>259</v>
      </c>
      <c r="M25" s="123"/>
      <c r="N25" s="123"/>
      <c r="O25" s="123"/>
      <c r="P25" s="123"/>
    </row>
    <row r="26" spans="1:16" hidden="1">
      <c r="A26" s="122" t="s">
        <v>339</v>
      </c>
      <c r="B26" s="122" t="s">
        <v>17</v>
      </c>
      <c r="C26" s="115">
        <v>52734140</v>
      </c>
      <c r="D26" s="139" t="s">
        <v>348</v>
      </c>
      <c r="E26" s="114">
        <v>45369</v>
      </c>
      <c r="F26" s="124">
        <v>30</v>
      </c>
      <c r="G26" s="119">
        <v>1358000</v>
      </c>
      <c r="H26" s="119">
        <f t="shared" si="3"/>
        <v>1300000</v>
      </c>
      <c r="I26" s="119">
        <f t="shared" si="4"/>
        <v>1358000</v>
      </c>
      <c r="J26" s="119">
        <f t="shared" si="0"/>
        <v>0</v>
      </c>
      <c r="K26" s="119" t="s">
        <v>552</v>
      </c>
      <c r="L26" s="125" t="s">
        <v>341</v>
      </c>
      <c r="M26" s="123"/>
      <c r="N26" s="123"/>
      <c r="O26" s="123"/>
      <c r="P26" s="123"/>
    </row>
    <row r="27" spans="1:16" hidden="1">
      <c r="A27" s="156" t="s">
        <v>317</v>
      </c>
      <c r="B27" s="129" t="s">
        <v>17</v>
      </c>
      <c r="C27" s="128">
        <v>52897266</v>
      </c>
      <c r="D27" s="129" t="s">
        <v>318</v>
      </c>
      <c r="E27" s="133">
        <v>45369</v>
      </c>
      <c r="F27" s="134">
        <v>30</v>
      </c>
      <c r="G27" s="135">
        <v>1358000</v>
      </c>
      <c r="H27" s="119">
        <f t="shared" si="3"/>
        <v>1300000</v>
      </c>
      <c r="I27" s="119">
        <f t="shared" si="4"/>
        <v>1358000</v>
      </c>
      <c r="J27" s="119">
        <f t="shared" si="0"/>
        <v>0</v>
      </c>
      <c r="K27" s="135" t="s">
        <v>552</v>
      </c>
      <c r="L27" s="136" t="s">
        <v>306</v>
      </c>
      <c r="M27" s="129"/>
      <c r="N27" s="129"/>
      <c r="O27" s="129"/>
      <c r="P27" s="123"/>
    </row>
    <row r="28" spans="1:16" hidden="1">
      <c r="A28" s="122" t="s">
        <v>339</v>
      </c>
      <c r="B28" s="122" t="s">
        <v>17</v>
      </c>
      <c r="C28" s="115">
        <v>39801161</v>
      </c>
      <c r="D28" s="123" t="s">
        <v>349</v>
      </c>
      <c r="E28" s="114">
        <v>45371</v>
      </c>
      <c r="F28" s="124">
        <v>30</v>
      </c>
      <c r="G28" s="119">
        <v>1358000</v>
      </c>
      <c r="H28" s="119">
        <f t="shared" si="3"/>
        <v>1300000</v>
      </c>
      <c r="I28" s="119">
        <f t="shared" si="4"/>
        <v>1358000</v>
      </c>
      <c r="J28" s="119">
        <f t="shared" si="0"/>
        <v>0</v>
      </c>
      <c r="K28" s="119" t="s">
        <v>555</v>
      </c>
      <c r="L28" s="125" t="s">
        <v>341</v>
      </c>
      <c r="M28" s="123"/>
      <c r="N28" s="123"/>
      <c r="O28" s="123"/>
      <c r="P28" s="123"/>
    </row>
    <row r="29" spans="1:16" hidden="1">
      <c r="A29" s="122" t="s">
        <v>386</v>
      </c>
      <c r="B29" s="122" t="s">
        <v>17</v>
      </c>
      <c r="C29" s="115">
        <v>1033802653</v>
      </c>
      <c r="D29" s="139" t="s">
        <v>388</v>
      </c>
      <c r="E29" s="114">
        <v>45371</v>
      </c>
      <c r="F29" s="124">
        <v>30</v>
      </c>
      <c r="G29" s="119">
        <v>1358000</v>
      </c>
      <c r="H29" s="119">
        <f t="shared" si="3"/>
        <v>1300000</v>
      </c>
      <c r="I29" s="119">
        <f t="shared" si="4"/>
        <v>1358000</v>
      </c>
      <c r="J29" s="119">
        <f t="shared" si="0"/>
        <v>0</v>
      </c>
      <c r="K29" s="119" t="s">
        <v>556</v>
      </c>
      <c r="L29" s="125" t="s">
        <v>341</v>
      </c>
      <c r="M29" s="123"/>
      <c r="N29" s="123"/>
      <c r="O29" s="123"/>
      <c r="P29" s="123"/>
    </row>
    <row r="30" spans="1:16" hidden="1">
      <c r="A30" s="159" t="s">
        <v>386</v>
      </c>
      <c r="B30" s="122" t="s">
        <v>373</v>
      </c>
      <c r="C30" s="115">
        <v>1148150676</v>
      </c>
      <c r="D30" s="123" t="s">
        <v>397</v>
      </c>
      <c r="E30" s="114">
        <v>45369</v>
      </c>
      <c r="F30" s="124">
        <v>30</v>
      </c>
      <c r="G30" s="119">
        <v>1440800</v>
      </c>
      <c r="H30" s="119">
        <f>+(1390000/30)*F30</f>
        <v>1390000</v>
      </c>
      <c r="I30" s="119">
        <f>+(((1390000*92%)+162000)/30)*F30</f>
        <v>1440800</v>
      </c>
      <c r="J30" s="119">
        <f t="shared" si="0"/>
        <v>0</v>
      </c>
      <c r="K30" s="119" t="s">
        <v>551</v>
      </c>
      <c r="L30" s="125" t="s">
        <v>341</v>
      </c>
      <c r="M30" s="123"/>
      <c r="N30" s="123"/>
      <c r="O30" s="123"/>
      <c r="P30" s="123"/>
    </row>
    <row r="31" spans="1:16" hidden="1">
      <c r="A31" s="122" t="s">
        <v>420</v>
      </c>
      <c r="B31" s="127" t="s">
        <v>17</v>
      </c>
      <c r="C31" s="130">
        <v>1024500166</v>
      </c>
      <c r="D31" s="131" t="s">
        <v>426</v>
      </c>
      <c r="E31" s="114">
        <v>45369</v>
      </c>
      <c r="F31" s="124">
        <v>30</v>
      </c>
      <c r="G31" s="132">
        <v>1358000</v>
      </c>
      <c r="H31" s="119">
        <f>+(1300000/30)*F31</f>
        <v>1300000</v>
      </c>
      <c r="I31" s="119">
        <f>+(((1300000*92%)+162000)/30)*F31</f>
        <v>1358000</v>
      </c>
      <c r="J31" s="119">
        <f t="shared" si="0"/>
        <v>0</v>
      </c>
      <c r="K31" s="132" t="s">
        <v>552</v>
      </c>
      <c r="L31" s="127" t="s">
        <v>408</v>
      </c>
      <c r="M31" s="131"/>
      <c r="N31" s="131"/>
      <c r="O31" s="131"/>
      <c r="P31" s="123"/>
    </row>
    <row r="32" spans="1:16" hidden="1">
      <c r="A32" s="156" t="s">
        <v>286</v>
      </c>
      <c r="B32" s="127" t="s">
        <v>17</v>
      </c>
      <c r="C32" s="130">
        <v>5026864</v>
      </c>
      <c r="D32" s="131" t="s">
        <v>288</v>
      </c>
      <c r="E32" s="116">
        <v>45369</v>
      </c>
      <c r="F32" s="137">
        <v>30</v>
      </c>
      <c r="G32" s="119">
        <v>1358000</v>
      </c>
      <c r="H32" s="119">
        <f>+(1300000/30)*F32</f>
        <v>1300000</v>
      </c>
      <c r="I32" s="119">
        <f>+(((1300000*92%)+162000)/30)*F32</f>
        <v>1358000</v>
      </c>
      <c r="J32" s="119">
        <f t="shared" si="0"/>
        <v>0</v>
      </c>
      <c r="K32" s="119" t="s">
        <v>551</v>
      </c>
      <c r="L32" s="125" t="s">
        <v>259</v>
      </c>
      <c r="M32" s="123"/>
      <c r="N32" s="123"/>
      <c r="O32" s="123"/>
      <c r="P32" s="123"/>
    </row>
    <row r="33" spans="1:16" hidden="1">
      <c r="A33" s="159" t="s">
        <v>406</v>
      </c>
      <c r="B33" s="127" t="s">
        <v>17</v>
      </c>
      <c r="C33" s="130">
        <v>20485336</v>
      </c>
      <c r="D33" s="131" t="s">
        <v>407</v>
      </c>
      <c r="E33" s="114">
        <v>45369</v>
      </c>
      <c r="F33" s="124">
        <v>30</v>
      </c>
      <c r="G33" s="132">
        <v>1358000</v>
      </c>
      <c r="H33" s="119">
        <f>+(1300000/30)*F33</f>
        <v>1300000</v>
      </c>
      <c r="I33" s="119">
        <f>+(((1300000*92%)+162000)/30)*F33</f>
        <v>1358000</v>
      </c>
      <c r="J33" s="119">
        <f t="shared" si="0"/>
        <v>0</v>
      </c>
      <c r="K33" s="132" t="s">
        <v>552</v>
      </c>
      <c r="L33" s="127" t="s">
        <v>408</v>
      </c>
      <c r="M33" s="131"/>
      <c r="N33" s="131"/>
      <c r="O33" s="131"/>
      <c r="P33" s="123"/>
    </row>
    <row r="34" spans="1:16" hidden="1">
      <c r="A34" s="159" t="s">
        <v>386</v>
      </c>
      <c r="B34" s="122" t="s">
        <v>280</v>
      </c>
      <c r="C34" s="115">
        <v>80366379</v>
      </c>
      <c r="D34" s="123" t="s">
        <v>396</v>
      </c>
      <c r="E34" s="114">
        <v>45369</v>
      </c>
      <c r="F34" s="124">
        <v>30</v>
      </c>
      <c r="G34" s="119">
        <v>1409520</v>
      </c>
      <c r="H34" s="119">
        <f>+(1356000/30)*F34</f>
        <v>1356000</v>
      </c>
      <c r="I34" s="119">
        <f>+(((1356000*92%)+162000)/30)*F34</f>
        <v>1409520</v>
      </c>
      <c r="J34" s="119">
        <f t="shared" ref="J34:J65" si="5">+G34-I34</f>
        <v>0</v>
      </c>
      <c r="K34" s="119" t="s">
        <v>552</v>
      </c>
      <c r="L34" s="125" t="s">
        <v>341</v>
      </c>
      <c r="M34" s="123"/>
      <c r="N34" s="123"/>
      <c r="O34" s="123"/>
      <c r="P34" s="123"/>
    </row>
    <row r="35" spans="1:16" hidden="1">
      <c r="A35" s="156" t="s">
        <v>286</v>
      </c>
      <c r="B35" s="127" t="s">
        <v>17</v>
      </c>
      <c r="C35" s="128">
        <v>24176443</v>
      </c>
      <c r="D35" s="129" t="s">
        <v>289</v>
      </c>
      <c r="E35" s="116">
        <v>45369</v>
      </c>
      <c r="F35" s="137">
        <v>30</v>
      </c>
      <c r="G35" s="119">
        <v>1358000</v>
      </c>
      <c r="H35" s="119">
        <f>+(1300000/30)*F35</f>
        <v>1300000</v>
      </c>
      <c r="I35" s="119">
        <f>+(((1300000*92%)+162000)/30)*F35</f>
        <v>1358000</v>
      </c>
      <c r="J35" s="119">
        <f t="shared" si="5"/>
        <v>0</v>
      </c>
      <c r="K35" s="119" t="s">
        <v>552</v>
      </c>
      <c r="L35" s="125" t="s">
        <v>259</v>
      </c>
      <c r="M35" s="123"/>
      <c r="N35" s="123"/>
      <c r="O35" s="123"/>
      <c r="P35" s="123"/>
    </row>
    <row r="36" spans="1:16" hidden="1">
      <c r="A36" s="156" t="s">
        <v>298</v>
      </c>
      <c r="B36" s="129" t="s">
        <v>17</v>
      </c>
      <c r="C36" s="128">
        <v>1023031155</v>
      </c>
      <c r="D36" s="129" t="s">
        <v>300</v>
      </c>
      <c r="E36" s="116">
        <v>45369</v>
      </c>
      <c r="F36" s="137">
        <v>30</v>
      </c>
      <c r="G36" s="119">
        <v>1358000</v>
      </c>
      <c r="H36" s="119">
        <f>+(1300000/30)*F36</f>
        <v>1300000</v>
      </c>
      <c r="I36" s="119">
        <f>+(((1300000*92%)+162000)/30)*F36</f>
        <v>1358000</v>
      </c>
      <c r="J36" s="119">
        <f t="shared" si="5"/>
        <v>0</v>
      </c>
      <c r="K36" s="119" t="s">
        <v>552</v>
      </c>
      <c r="L36" s="125" t="s">
        <v>259</v>
      </c>
      <c r="M36" s="123"/>
      <c r="N36" s="123"/>
      <c r="O36" s="123"/>
      <c r="P36" s="123"/>
    </row>
    <row r="37" spans="1:16" hidden="1">
      <c r="A37" s="122" t="s">
        <v>339</v>
      </c>
      <c r="B37" s="122" t="s">
        <v>17</v>
      </c>
      <c r="C37" s="115">
        <v>1031148383</v>
      </c>
      <c r="D37" s="123" t="s">
        <v>350</v>
      </c>
      <c r="E37" s="114">
        <v>45371</v>
      </c>
      <c r="F37" s="151">
        <f>2+3+25</f>
        <v>30</v>
      </c>
      <c r="G37" s="119">
        <v>1331000</v>
      </c>
      <c r="H37" s="119">
        <f>+(1300000/30)*F37</f>
        <v>1300000</v>
      </c>
      <c r="I37" s="119">
        <f>+(((1300000*92%)+162000)/30)*F37</f>
        <v>1358000</v>
      </c>
      <c r="J37" s="111">
        <f t="shared" si="5"/>
        <v>-27000</v>
      </c>
      <c r="K37" s="119" t="s">
        <v>553</v>
      </c>
      <c r="L37" s="125" t="s">
        <v>341</v>
      </c>
      <c r="M37" s="123"/>
      <c r="N37" s="123"/>
      <c r="O37" s="123"/>
      <c r="P37" s="123"/>
    </row>
    <row r="38" spans="1:16" hidden="1">
      <c r="A38" s="159" t="s">
        <v>1397</v>
      </c>
      <c r="B38" s="131" t="s">
        <v>373</v>
      </c>
      <c r="C38" s="130">
        <v>79557871</v>
      </c>
      <c r="D38" s="131" t="s">
        <v>439</v>
      </c>
      <c r="E38" s="114">
        <v>45369</v>
      </c>
      <c r="F38" s="124">
        <v>30</v>
      </c>
      <c r="G38" s="132">
        <v>1440800</v>
      </c>
      <c r="H38" s="119">
        <f>+(1390000/30)*F38</f>
        <v>1390000</v>
      </c>
      <c r="I38" s="119">
        <f>+(((1390000*92%)+162000)/30)*F38</f>
        <v>1440800</v>
      </c>
      <c r="J38" s="119">
        <f t="shared" si="5"/>
        <v>0</v>
      </c>
      <c r="K38" s="132" t="s">
        <v>552</v>
      </c>
      <c r="L38" s="127" t="s">
        <v>408</v>
      </c>
      <c r="M38" s="131"/>
      <c r="N38" s="131"/>
      <c r="O38" s="131"/>
      <c r="P38" s="123"/>
    </row>
    <row r="39" spans="1:16" hidden="1">
      <c r="A39" s="156" t="s">
        <v>317</v>
      </c>
      <c r="B39" s="129" t="s">
        <v>17</v>
      </c>
      <c r="C39" s="128">
        <v>34951119</v>
      </c>
      <c r="D39" s="129" t="s">
        <v>319</v>
      </c>
      <c r="E39" s="133">
        <v>45369</v>
      </c>
      <c r="F39" s="134">
        <v>30</v>
      </c>
      <c r="G39" s="135">
        <v>1358000</v>
      </c>
      <c r="H39" s="119">
        <f t="shared" ref="H39:H46" si="6">+(1300000/30)*F39</f>
        <v>1300000</v>
      </c>
      <c r="I39" s="119">
        <f t="shared" ref="I39:I46" si="7">+(((1300000*92%)+162000)/30)*F39</f>
        <v>1358000</v>
      </c>
      <c r="J39" s="119">
        <f t="shared" si="5"/>
        <v>0</v>
      </c>
      <c r="K39" s="135" t="s">
        <v>551</v>
      </c>
      <c r="L39" s="136" t="s">
        <v>306</v>
      </c>
      <c r="M39" s="129"/>
      <c r="N39" s="129"/>
      <c r="O39" s="129"/>
      <c r="P39" s="123"/>
    </row>
    <row r="40" spans="1:16" hidden="1">
      <c r="A40" s="155" t="s">
        <v>283</v>
      </c>
      <c r="B40" s="129" t="s">
        <v>17</v>
      </c>
      <c r="C40" s="128">
        <v>52759800</v>
      </c>
      <c r="D40" s="129" t="s">
        <v>284</v>
      </c>
      <c r="E40" s="116">
        <v>45369</v>
      </c>
      <c r="F40" s="137">
        <v>30</v>
      </c>
      <c r="G40" s="119">
        <v>1358000</v>
      </c>
      <c r="H40" s="119">
        <f t="shared" si="6"/>
        <v>1300000</v>
      </c>
      <c r="I40" s="119">
        <f t="shared" si="7"/>
        <v>1358000</v>
      </c>
      <c r="J40" s="119">
        <f t="shared" si="5"/>
        <v>0</v>
      </c>
      <c r="K40" s="119" t="s">
        <v>552</v>
      </c>
      <c r="L40" s="125" t="s">
        <v>259</v>
      </c>
      <c r="M40" s="123"/>
      <c r="N40" s="123"/>
      <c r="O40" s="123"/>
      <c r="P40" s="73" t="s">
        <v>560</v>
      </c>
    </row>
    <row r="41" spans="1:16" hidden="1">
      <c r="A41" s="122" t="s">
        <v>339</v>
      </c>
      <c r="B41" s="122" t="s">
        <v>17</v>
      </c>
      <c r="C41" s="115">
        <v>1023928463</v>
      </c>
      <c r="D41" s="123" t="s">
        <v>351</v>
      </c>
      <c r="E41" s="114">
        <v>45369</v>
      </c>
      <c r="F41" s="124">
        <v>30</v>
      </c>
      <c r="G41" s="119">
        <v>1358000</v>
      </c>
      <c r="H41" s="119">
        <f t="shared" si="6"/>
        <v>1300000</v>
      </c>
      <c r="I41" s="119">
        <f t="shared" si="7"/>
        <v>1358000</v>
      </c>
      <c r="J41" s="119">
        <f t="shared" si="5"/>
        <v>0</v>
      </c>
      <c r="K41" s="119" t="s">
        <v>552</v>
      </c>
      <c r="L41" s="125" t="s">
        <v>341</v>
      </c>
      <c r="M41" s="123"/>
      <c r="N41" s="123"/>
      <c r="O41" s="123"/>
      <c r="P41" s="123"/>
    </row>
    <row r="42" spans="1:16" hidden="1">
      <c r="A42" s="122" t="s">
        <v>339</v>
      </c>
      <c r="B42" s="122" t="s">
        <v>17</v>
      </c>
      <c r="C42" s="115">
        <v>1033736024</v>
      </c>
      <c r="D42" s="123" t="s">
        <v>352</v>
      </c>
      <c r="E42" s="114">
        <v>45369</v>
      </c>
      <c r="F42" s="124">
        <v>30</v>
      </c>
      <c r="G42" s="119">
        <v>1358000</v>
      </c>
      <c r="H42" s="119">
        <f t="shared" si="6"/>
        <v>1300000</v>
      </c>
      <c r="I42" s="119">
        <f t="shared" si="7"/>
        <v>1358000</v>
      </c>
      <c r="J42" s="119">
        <f t="shared" si="5"/>
        <v>0</v>
      </c>
      <c r="K42" s="119" t="s">
        <v>551</v>
      </c>
      <c r="L42" s="125" t="s">
        <v>341</v>
      </c>
      <c r="M42" s="123"/>
      <c r="N42" s="123"/>
      <c r="O42" s="123"/>
      <c r="P42" s="123"/>
    </row>
    <row r="43" spans="1:16" hidden="1">
      <c r="A43" s="122" t="s">
        <v>339</v>
      </c>
      <c r="B43" s="122" t="s">
        <v>17</v>
      </c>
      <c r="C43" s="115">
        <v>52348638</v>
      </c>
      <c r="D43" s="123" t="s">
        <v>353</v>
      </c>
      <c r="E43" s="114">
        <v>45369</v>
      </c>
      <c r="F43" s="124">
        <v>30</v>
      </c>
      <c r="G43" s="119">
        <v>1358000</v>
      </c>
      <c r="H43" s="119">
        <f t="shared" si="6"/>
        <v>1300000</v>
      </c>
      <c r="I43" s="119">
        <f t="shared" si="7"/>
        <v>1358000</v>
      </c>
      <c r="J43" s="119">
        <f t="shared" si="5"/>
        <v>0</v>
      </c>
      <c r="K43" s="119" t="s">
        <v>552</v>
      </c>
      <c r="L43" s="125" t="s">
        <v>341</v>
      </c>
      <c r="M43" s="123"/>
      <c r="N43" s="123"/>
      <c r="O43" s="123"/>
      <c r="P43" s="123"/>
    </row>
    <row r="44" spans="1:16" hidden="1">
      <c r="A44" s="156" t="s">
        <v>269</v>
      </c>
      <c r="B44" s="129" t="s">
        <v>17</v>
      </c>
      <c r="C44" s="140">
        <v>1007725189</v>
      </c>
      <c r="D44" s="141" t="s">
        <v>273</v>
      </c>
      <c r="E44" s="114">
        <v>45371</v>
      </c>
      <c r="F44" s="124">
        <v>30</v>
      </c>
      <c r="G44" s="119">
        <v>1358000</v>
      </c>
      <c r="H44" s="119">
        <f t="shared" si="6"/>
        <v>1300000</v>
      </c>
      <c r="I44" s="119">
        <f t="shared" si="7"/>
        <v>1358000</v>
      </c>
      <c r="J44" s="119">
        <f t="shared" si="5"/>
        <v>0</v>
      </c>
      <c r="K44" s="119" t="s">
        <v>556</v>
      </c>
      <c r="L44" s="125" t="s">
        <v>259</v>
      </c>
      <c r="M44" s="123"/>
      <c r="N44" s="123"/>
      <c r="O44" s="123"/>
      <c r="P44" s="123"/>
    </row>
    <row r="45" spans="1:16" hidden="1">
      <c r="A45" s="156" t="s">
        <v>262</v>
      </c>
      <c r="B45" s="122" t="s">
        <v>17</v>
      </c>
      <c r="C45" s="130">
        <v>52164356</v>
      </c>
      <c r="D45" s="131" t="s">
        <v>263</v>
      </c>
      <c r="E45" s="116">
        <v>45369</v>
      </c>
      <c r="F45" s="137">
        <v>30</v>
      </c>
      <c r="G45" s="119">
        <v>1358000</v>
      </c>
      <c r="H45" s="119">
        <f t="shared" si="6"/>
        <v>1300000</v>
      </c>
      <c r="I45" s="119">
        <f t="shared" si="7"/>
        <v>1358000</v>
      </c>
      <c r="J45" s="119">
        <f t="shared" si="5"/>
        <v>0</v>
      </c>
      <c r="K45" s="119" t="s">
        <v>552</v>
      </c>
      <c r="L45" s="125" t="s">
        <v>259</v>
      </c>
      <c r="M45" s="123"/>
      <c r="N45" s="123"/>
      <c r="O45" s="123"/>
      <c r="P45" s="123"/>
    </row>
    <row r="46" spans="1:16" hidden="1">
      <c r="A46" s="156" t="s">
        <v>274</v>
      </c>
      <c r="B46" s="129" t="s">
        <v>423</v>
      </c>
      <c r="C46" s="128">
        <v>1024547275</v>
      </c>
      <c r="D46" s="129" t="s">
        <v>275</v>
      </c>
      <c r="E46" s="116">
        <v>45369</v>
      </c>
      <c r="F46" s="149">
        <f>5+25</f>
        <v>30</v>
      </c>
      <c r="G46" s="119">
        <v>1331000</v>
      </c>
      <c r="H46" s="119">
        <f t="shared" si="6"/>
        <v>1300000</v>
      </c>
      <c r="I46" s="119">
        <f t="shared" si="7"/>
        <v>1358000</v>
      </c>
      <c r="J46" s="111">
        <f t="shared" si="5"/>
        <v>-27000</v>
      </c>
      <c r="K46" s="119" t="s">
        <v>552</v>
      </c>
      <c r="L46" s="125" t="s">
        <v>259</v>
      </c>
      <c r="M46" s="123"/>
      <c r="N46" s="123"/>
      <c r="O46" s="123"/>
      <c r="P46" s="123"/>
    </row>
    <row r="47" spans="1:16" s="150" customFormat="1" hidden="1">
      <c r="A47" s="75"/>
      <c r="B47" s="112"/>
      <c r="C47" s="128">
        <v>80747256</v>
      </c>
      <c r="D47" s="129" t="s">
        <v>532</v>
      </c>
      <c r="E47" s="116">
        <v>45384</v>
      </c>
      <c r="F47" s="149">
        <v>29</v>
      </c>
      <c r="G47" s="119">
        <v>1392773.3333333333</v>
      </c>
      <c r="H47" s="119">
        <f>+(1390000/30)*F47</f>
        <v>1343666.6666666667</v>
      </c>
      <c r="I47" s="119">
        <f>+(((1390000*92%)+162000)/30)*F47</f>
        <v>1392773.3333333333</v>
      </c>
      <c r="J47" s="119">
        <f t="shared" si="5"/>
        <v>0</v>
      </c>
      <c r="K47" s="119" t="s">
        <v>551</v>
      </c>
      <c r="L47" s="125"/>
      <c r="M47" s="123"/>
      <c r="N47" s="123"/>
      <c r="O47" s="123"/>
      <c r="P47" s="123"/>
    </row>
    <row r="48" spans="1:16" hidden="1">
      <c r="A48" s="120" t="s">
        <v>406</v>
      </c>
      <c r="B48" s="129" t="s">
        <v>17</v>
      </c>
      <c r="C48" s="115">
        <v>1118854040</v>
      </c>
      <c r="D48" s="123" t="s">
        <v>472</v>
      </c>
      <c r="E48" s="114">
        <v>45371</v>
      </c>
      <c r="F48" s="138">
        <v>30</v>
      </c>
      <c r="G48" s="142">
        <v>1358000</v>
      </c>
      <c r="H48" s="119">
        <f>+(1300000/30)*F48</f>
        <v>1300000</v>
      </c>
      <c r="I48" s="119">
        <f>+(((1300000*92%)+162000)/30)*F48</f>
        <v>1358000</v>
      </c>
      <c r="J48" s="119">
        <f t="shared" si="5"/>
        <v>0</v>
      </c>
      <c r="K48" s="142" t="s">
        <v>551</v>
      </c>
      <c r="L48" s="77"/>
      <c r="M48" s="123"/>
      <c r="N48" s="123"/>
      <c r="O48" s="123"/>
      <c r="P48" s="123"/>
    </row>
    <row r="49" spans="1:16" hidden="1">
      <c r="A49" s="122" t="s">
        <v>339</v>
      </c>
      <c r="B49" s="122" t="s">
        <v>17</v>
      </c>
      <c r="C49" s="115">
        <v>52112939</v>
      </c>
      <c r="D49" s="123" t="s">
        <v>354</v>
      </c>
      <c r="E49" s="114">
        <v>45369</v>
      </c>
      <c r="F49" s="124">
        <v>30</v>
      </c>
      <c r="G49" s="119">
        <v>1358000</v>
      </c>
      <c r="H49" s="119">
        <f>+(1300000/30)*F49</f>
        <v>1300000</v>
      </c>
      <c r="I49" s="119">
        <f>+(((1300000*92%)+162000)/30)*F49</f>
        <v>1358000</v>
      </c>
      <c r="J49" s="119">
        <f t="shared" si="5"/>
        <v>0</v>
      </c>
      <c r="K49" s="119" t="s">
        <v>556</v>
      </c>
      <c r="L49" s="125" t="s">
        <v>341</v>
      </c>
      <c r="M49" s="123"/>
      <c r="N49" s="123"/>
      <c r="O49" s="123"/>
      <c r="P49" s="123"/>
    </row>
    <row r="50" spans="1:16" hidden="1">
      <c r="A50" s="159" t="s">
        <v>400</v>
      </c>
      <c r="B50" s="122" t="s">
        <v>280</v>
      </c>
      <c r="C50" s="115">
        <v>79510190</v>
      </c>
      <c r="D50" s="123" t="s">
        <v>403</v>
      </c>
      <c r="E50" s="114">
        <v>45369</v>
      </c>
      <c r="F50" s="124">
        <v>30</v>
      </c>
      <c r="G50" s="119">
        <v>1409520</v>
      </c>
      <c r="H50" s="119">
        <f>+(1356000/30)*F50</f>
        <v>1356000</v>
      </c>
      <c r="I50" s="119">
        <f>+(((1356000*92%)+162000)/30)*F50</f>
        <v>1409520</v>
      </c>
      <c r="J50" s="119">
        <f t="shared" si="5"/>
        <v>0</v>
      </c>
      <c r="K50" s="119" t="s">
        <v>552</v>
      </c>
      <c r="L50" s="125" t="s">
        <v>341</v>
      </c>
      <c r="M50" s="123"/>
      <c r="N50" s="123"/>
      <c r="O50" s="123"/>
      <c r="P50" s="123"/>
    </row>
    <row r="51" spans="1:16" hidden="1">
      <c r="A51" s="156" t="s">
        <v>262</v>
      </c>
      <c r="B51" s="122" t="s">
        <v>17</v>
      </c>
      <c r="C51" s="128">
        <v>1024477306</v>
      </c>
      <c r="D51" s="129" t="s">
        <v>264</v>
      </c>
      <c r="E51" s="116">
        <v>45369</v>
      </c>
      <c r="F51" s="137">
        <v>30</v>
      </c>
      <c r="G51" s="119">
        <v>1358000</v>
      </c>
      <c r="H51" s="119">
        <f>+(1300000/30)*F51</f>
        <v>1300000</v>
      </c>
      <c r="I51" s="119">
        <f>+(((1300000*92%)+162000)/30)*F51</f>
        <v>1358000</v>
      </c>
      <c r="J51" s="119">
        <f t="shared" si="5"/>
        <v>0</v>
      </c>
      <c r="K51" s="119" t="s">
        <v>552</v>
      </c>
      <c r="L51" s="125" t="s">
        <v>259</v>
      </c>
      <c r="M51" s="123"/>
      <c r="N51" s="123"/>
      <c r="O51" s="123"/>
      <c r="P51" s="123"/>
    </row>
    <row r="52" spans="1:16" hidden="1">
      <c r="A52" s="159" t="s">
        <v>339</v>
      </c>
      <c r="B52" s="122" t="s">
        <v>280</v>
      </c>
      <c r="C52" s="115">
        <v>79771060</v>
      </c>
      <c r="D52" s="123" t="s">
        <v>382</v>
      </c>
      <c r="E52" s="114">
        <v>45369</v>
      </c>
      <c r="F52" s="124">
        <v>30</v>
      </c>
      <c r="G52" s="119">
        <v>1409520</v>
      </c>
      <c r="H52" s="119">
        <f>+(1356000/30)*F52</f>
        <v>1356000</v>
      </c>
      <c r="I52" s="119">
        <f>+(((1356000*92%)+162000)/30)*F52</f>
        <v>1409520</v>
      </c>
      <c r="J52" s="119">
        <f t="shared" si="5"/>
        <v>0</v>
      </c>
      <c r="K52" s="119" t="s">
        <v>552</v>
      </c>
      <c r="L52" s="125" t="s">
        <v>341</v>
      </c>
      <c r="M52" s="123"/>
      <c r="N52" s="123"/>
      <c r="O52" s="123"/>
      <c r="P52" s="123"/>
    </row>
    <row r="53" spans="1:16" hidden="1">
      <c r="A53" s="122" t="s">
        <v>339</v>
      </c>
      <c r="B53" s="122" t="s">
        <v>17</v>
      </c>
      <c r="C53" s="115">
        <v>52505010</v>
      </c>
      <c r="D53" s="123" t="s">
        <v>355</v>
      </c>
      <c r="E53" s="114">
        <v>45369</v>
      </c>
      <c r="F53" s="124">
        <v>30</v>
      </c>
      <c r="G53" s="119">
        <v>1358000</v>
      </c>
      <c r="H53" s="119">
        <f>+(1300000/30)*F53</f>
        <v>1300000</v>
      </c>
      <c r="I53" s="119">
        <f>+(((1300000*92%)+162000)/30)*F53</f>
        <v>1358000</v>
      </c>
      <c r="J53" s="119">
        <f t="shared" si="5"/>
        <v>0</v>
      </c>
      <c r="K53" s="119" t="s">
        <v>556</v>
      </c>
      <c r="L53" s="125" t="s">
        <v>341</v>
      </c>
      <c r="M53" s="123"/>
      <c r="N53" s="123"/>
      <c r="O53" s="123"/>
      <c r="P53" s="123"/>
    </row>
    <row r="54" spans="1:16" hidden="1">
      <c r="A54" s="156" t="s">
        <v>298</v>
      </c>
      <c r="B54" s="129" t="s">
        <v>17</v>
      </c>
      <c r="C54" s="128">
        <v>28057943</v>
      </c>
      <c r="D54" s="129" t="s">
        <v>518</v>
      </c>
      <c r="E54" s="116">
        <v>45369</v>
      </c>
      <c r="F54" s="137">
        <v>30</v>
      </c>
      <c r="G54" s="119">
        <v>1358000</v>
      </c>
      <c r="H54" s="119">
        <f>+(1300000/30)*F54</f>
        <v>1300000</v>
      </c>
      <c r="I54" s="119">
        <f>+(((1300000*92%)+162000)/30)*F54</f>
        <v>1358000</v>
      </c>
      <c r="J54" s="119">
        <f t="shared" si="5"/>
        <v>0</v>
      </c>
      <c r="K54" s="119" t="s">
        <v>552</v>
      </c>
      <c r="L54" s="125" t="s">
        <v>259</v>
      </c>
      <c r="M54" s="123"/>
      <c r="N54" s="123"/>
      <c r="O54" s="123"/>
      <c r="P54" s="123"/>
    </row>
    <row r="55" spans="1:16" hidden="1">
      <c r="A55" s="77" t="s">
        <v>339</v>
      </c>
      <c r="B55" s="77" t="s">
        <v>373</v>
      </c>
      <c r="C55" s="115">
        <v>79861598</v>
      </c>
      <c r="D55" s="123" t="s">
        <v>473</v>
      </c>
      <c r="E55" s="116">
        <v>45369</v>
      </c>
      <c r="F55" s="152">
        <v>1</v>
      </c>
      <c r="G55" s="142"/>
      <c r="H55" s="119">
        <f>+(1390000/30)*F55</f>
        <v>46333.333333333336</v>
      </c>
      <c r="I55" s="119">
        <f>+(((1390000*92%)+162000)/30)*F55</f>
        <v>48026.666666666664</v>
      </c>
      <c r="J55" s="111">
        <f t="shared" si="5"/>
        <v>-48026.666666666664</v>
      </c>
      <c r="K55" s="142" t="s">
        <v>514</v>
      </c>
      <c r="L55" s="77"/>
      <c r="M55" s="123"/>
      <c r="N55" s="123"/>
      <c r="O55" s="123"/>
      <c r="P55" s="123"/>
    </row>
    <row r="56" spans="1:16" hidden="1">
      <c r="A56" s="122" t="s">
        <v>339</v>
      </c>
      <c r="B56" s="122" t="s">
        <v>17</v>
      </c>
      <c r="C56" s="115">
        <v>1082243640</v>
      </c>
      <c r="D56" s="123" t="s">
        <v>356</v>
      </c>
      <c r="E56" s="114">
        <v>45369</v>
      </c>
      <c r="F56" s="124">
        <v>30</v>
      </c>
      <c r="G56" s="119">
        <v>1358000</v>
      </c>
      <c r="H56" s="119">
        <f>+(1300000/30)*F56</f>
        <v>1300000</v>
      </c>
      <c r="I56" s="119">
        <f>+(((1300000*92%)+162000)/30)*F56</f>
        <v>1358000</v>
      </c>
      <c r="J56" s="119">
        <f t="shared" si="5"/>
        <v>0</v>
      </c>
      <c r="K56" s="119" t="s">
        <v>552</v>
      </c>
      <c r="L56" s="125" t="s">
        <v>341</v>
      </c>
      <c r="M56" s="123"/>
      <c r="N56" s="123"/>
      <c r="O56" s="123"/>
      <c r="P56" s="123"/>
    </row>
    <row r="57" spans="1:16" hidden="1">
      <c r="A57" s="76"/>
      <c r="B57" s="76"/>
      <c r="C57" s="115">
        <v>79790756</v>
      </c>
      <c r="D57" s="123" t="s">
        <v>533</v>
      </c>
      <c r="E57" s="114">
        <v>45398</v>
      </c>
      <c r="F57" s="151">
        <v>15</v>
      </c>
      <c r="G57" s="119">
        <v>720400</v>
      </c>
      <c r="H57" s="119">
        <f>+(1390000/30)*F57</f>
        <v>695000</v>
      </c>
      <c r="I57" s="119">
        <f>+(((1390000*92%)+162000)/30)*F57</f>
        <v>720400</v>
      </c>
      <c r="J57" s="119">
        <f t="shared" si="5"/>
        <v>0</v>
      </c>
      <c r="K57" s="119" t="s">
        <v>512</v>
      </c>
      <c r="L57" s="125"/>
      <c r="M57" s="123"/>
      <c r="N57" s="123"/>
      <c r="O57" s="123"/>
      <c r="P57" s="123"/>
    </row>
    <row r="58" spans="1:16" hidden="1">
      <c r="A58" s="77" t="s">
        <v>339</v>
      </c>
      <c r="B58" s="77" t="s">
        <v>373</v>
      </c>
      <c r="C58" s="115">
        <v>79464373</v>
      </c>
      <c r="D58" s="123" t="s">
        <v>474</v>
      </c>
      <c r="E58" s="114">
        <v>45369</v>
      </c>
      <c r="F58" s="152">
        <v>2</v>
      </c>
      <c r="G58" s="142"/>
      <c r="H58" s="119">
        <f>+(1390000/30)*F58</f>
        <v>92666.666666666672</v>
      </c>
      <c r="I58" s="119">
        <f>+(((1390000*92%)+162000)/30)*F58</f>
        <v>96053.333333333328</v>
      </c>
      <c r="J58" s="111">
        <f t="shared" si="5"/>
        <v>-96053.333333333328</v>
      </c>
      <c r="K58" s="142" t="s">
        <v>513</v>
      </c>
      <c r="L58" s="77"/>
      <c r="M58" s="123"/>
      <c r="N58" s="123"/>
      <c r="O58" s="123"/>
      <c r="P58" s="123"/>
    </row>
    <row r="59" spans="1:16" hidden="1">
      <c r="A59" s="156" t="s">
        <v>309</v>
      </c>
      <c r="B59" s="129" t="s">
        <v>17</v>
      </c>
      <c r="C59" s="128">
        <v>64577288</v>
      </c>
      <c r="D59" s="129" t="s">
        <v>311</v>
      </c>
      <c r="E59" s="133">
        <v>45369</v>
      </c>
      <c r="F59" s="134">
        <v>30</v>
      </c>
      <c r="G59" s="135">
        <v>1358000</v>
      </c>
      <c r="H59" s="119">
        <f>+(1300000/30)*F59</f>
        <v>1300000</v>
      </c>
      <c r="I59" s="119">
        <f>+(((1300000*92%)+162000)/30)*F59</f>
        <v>1358000</v>
      </c>
      <c r="J59" s="119">
        <f t="shared" si="5"/>
        <v>0</v>
      </c>
      <c r="K59" s="135" t="s">
        <v>552</v>
      </c>
      <c r="L59" s="136" t="s">
        <v>306</v>
      </c>
      <c r="M59" s="129"/>
      <c r="N59" s="129"/>
      <c r="O59" s="129"/>
      <c r="P59" s="123"/>
    </row>
    <row r="60" spans="1:16" hidden="1">
      <c r="A60" s="75"/>
      <c r="B60" s="112"/>
      <c r="C60" s="128">
        <v>1116873655</v>
      </c>
      <c r="D60" s="129" t="s">
        <v>534</v>
      </c>
      <c r="E60" s="133">
        <v>45412</v>
      </c>
      <c r="F60" s="153">
        <v>1</v>
      </c>
      <c r="G60" s="135"/>
      <c r="H60" s="119">
        <f>+(1390000/30)*F60</f>
        <v>46333.333333333336</v>
      </c>
      <c r="I60" s="119">
        <f>+(((1390000*92%)+162000)/30)*F60</f>
        <v>48026.666666666664</v>
      </c>
      <c r="J60" s="111">
        <f t="shared" si="5"/>
        <v>-48026.666666666664</v>
      </c>
      <c r="K60" s="135"/>
      <c r="L60" s="136"/>
      <c r="M60" s="129"/>
      <c r="N60" s="129"/>
      <c r="O60" s="129"/>
      <c r="P60" s="123"/>
    </row>
    <row r="61" spans="1:16" hidden="1">
      <c r="A61" s="156" t="s">
        <v>262</v>
      </c>
      <c r="B61" s="122" t="s">
        <v>17</v>
      </c>
      <c r="C61" s="128">
        <v>52500946</v>
      </c>
      <c r="D61" s="129" t="s">
        <v>265</v>
      </c>
      <c r="E61" s="143">
        <v>45371</v>
      </c>
      <c r="F61" s="137">
        <v>30</v>
      </c>
      <c r="G61" s="119">
        <v>1358000</v>
      </c>
      <c r="H61" s="119">
        <f>+(1300000/30)*F61</f>
        <v>1300000</v>
      </c>
      <c r="I61" s="119">
        <f>+(((1300000*92%)+162000)/30)*F61</f>
        <v>1358000</v>
      </c>
      <c r="J61" s="119">
        <f t="shared" si="5"/>
        <v>0</v>
      </c>
      <c r="K61" s="119" t="s">
        <v>556</v>
      </c>
      <c r="L61" s="125" t="s">
        <v>259</v>
      </c>
      <c r="M61" s="123"/>
      <c r="N61" s="123"/>
      <c r="O61" s="123"/>
      <c r="P61" s="123"/>
    </row>
    <row r="62" spans="1:16" hidden="1">
      <c r="A62" s="75" t="s">
        <v>262</v>
      </c>
      <c r="B62" s="112" t="s">
        <v>17</v>
      </c>
      <c r="C62" s="128">
        <v>51921922</v>
      </c>
      <c r="D62" s="129" t="s">
        <v>535</v>
      </c>
      <c r="E62" s="143">
        <v>45404</v>
      </c>
      <c r="F62" s="149">
        <v>9</v>
      </c>
      <c r="G62" s="119">
        <v>407400</v>
      </c>
      <c r="H62" s="119">
        <f>+(1300000/30)*F62</f>
        <v>390000</v>
      </c>
      <c r="I62" s="119">
        <f>+(((1300000*92%)+162000)/30)*F62</f>
        <v>407400</v>
      </c>
      <c r="J62" s="119">
        <f t="shared" si="5"/>
        <v>0</v>
      </c>
      <c r="K62" s="119" t="s">
        <v>552</v>
      </c>
      <c r="L62" s="125"/>
      <c r="M62" s="123"/>
      <c r="N62" s="123"/>
      <c r="O62" s="123"/>
      <c r="P62" s="123"/>
    </row>
    <row r="63" spans="1:16" hidden="1">
      <c r="A63" s="156" t="s">
        <v>326</v>
      </c>
      <c r="B63" s="129" t="s">
        <v>17</v>
      </c>
      <c r="C63" s="128">
        <v>1018429019</v>
      </c>
      <c r="D63" s="129" t="s">
        <v>519</v>
      </c>
      <c r="E63" s="133">
        <v>45369</v>
      </c>
      <c r="F63" s="134">
        <v>30</v>
      </c>
      <c r="G63" s="135">
        <v>1358000</v>
      </c>
      <c r="H63" s="119">
        <f>+(1300000/30)*F63</f>
        <v>1300000</v>
      </c>
      <c r="I63" s="119">
        <f>+(((1300000*92%)+162000)/30)*F63</f>
        <v>1358000</v>
      </c>
      <c r="J63" s="119">
        <f t="shared" si="5"/>
        <v>0</v>
      </c>
      <c r="K63" s="135" t="s">
        <v>552</v>
      </c>
      <c r="L63" s="136" t="s">
        <v>306</v>
      </c>
      <c r="M63" s="129"/>
      <c r="N63" s="129"/>
      <c r="O63" s="129"/>
      <c r="P63" s="129"/>
    </row>
    <row r="64" spans="1:16" hidden="1">
      <c r="A64" s="122" t="s">
        <v>339</v>
      </c>
      <c r="B64" s="122" t="s">
        <v>373</v>
      </c>
      <c r="C64" s="115">
        <v>92260161</v>
      </c>
      <c r="D64" s="123" t="s">
        <v>376</v>
      </c>
      <c r="E64" s="114">
        <v>45369</v>
      </c>
      <c r="F64" s="124">
        <v>30</v>
      </c>
      <c r="G64" s="119">
        <v>1440800</v>
      </c>
      <c r="H64" s="119">
        <f>+(1390000/30)*F64</f>
        <v>1390000</v>
      </c>
      <c r="I64" s="119">
        <f>+(((1390000*92%)+162000)/30)*F64</f>
        <v>1440800</v>
      </c>
      <c r="J64" s="119">
        <f t="shared" si="5"/>
        <v>0</v>
      </c>
      <c r="K64" s="119" t="s">
        <v>551</v>
      </c>
      <c r="L64" s="125" t="s">
        <v>341</v>
      </c>
      <c r="M64" s="123"/>
      <c r="N64" s="123"/>
      <c r="O64" s="123"/>
      <c r="P64" s="123"/>
    </row>
    <row r="65" spans="1:16" hidden="1">
      <c r="A65" s="122" t="s">
        <v>339</v>
      </c>
      <c r="B65" s="122" t="s">
        <v>302</v>
      </c>
      <c r="C65" s="115">
        <v>52554338</v>
      </c>
      <c r="D65" s="139" t="s">
        <v>340</v>
      </c>
      <c r="E65" s="114">
        <v>45369</v>
      </c>
      <c r="F65" s="124">
        <v>30</v>
      </c>
      <c r="G65" s="119">
        <v>1680920</v>
      </c>
      <c r="H65" s="119">
        <f>+(1401000/30)*F65</f>
        <v>1401000</v>
      </c>
      <c r="I65" s="119">
        <f>+(((1401000*92%)+(162000+135000+95000))/30)*F65</f>
        <v>1680920</v>
      </c>
      <c r="J65" s="119">
        <f t="shared" si="5"/>
        <v>0</v>
      </c>
      <c r="K65" s="119" t="s">
        <v>551</v>
      </c>
      <c r="L65" s="125" t="s">
        <v>341</v>
      </c>
      <c r="M65" s="123"/>
      <c r="N65" s="123"/>
      <c r="O65" s="123"/>
      <c r="P65" s="123"/>
    </row>
    <row r="66" spans="1:16" hidden="1">
      <c r="A66" s="122" t="s">
        <v>420</v>
      </c>
      <c r="B66" s="127" t="s">
        <v>17</v>
      </c>
      <c r="C66" s="130">
        <v>1026256911</v>
      </c>
      <c r="D66" s="131" t="s">
        <v>520</v>
      </c>
      <c r="E66" s="114">
        <v>45369</v>
      </c>
      <c r="F66" s="124">
        <v>30</v>
      </c>
      <c r="G66" s="132">
        <v>1358000</v>
      </c>
      <c r="H66" s="119">
        <f>+(1300000/30)*F66</f>
        <v>1300000</v>
      </c>
      <c r="I66" s="119">
        <f>+(((1300000*92%)+162000)/30)*F66</f>
        <v>1358000</v>
      </c>
      <c r="J66" s="119">
        <f t="shared" ref="J66:J97" si="8">+G66-I66</f>
        <v>0</v>
      </c>
      <c r="K66" s="132" t="s">
        <v>552</v>
      </c>
      <c r="L66" s="127" t="s">
        <v>408</v>
      </c>
      <c r="M66" s="131"/>
      <c r="N66" s="131"/>
      <c r="O66" s="131"/>
      <c r="P66" s="123"/>
    </row>
    <row r="67" spans="1:16" hidden="1">
      <c r="A67" s="156" t="s">
        <v>326</v>
      </c>
      <c r="B67" s="129" t="s">
        <v>17</v>
      </c>
      <c r="C67" s="128">
        <v>1031132769</v>
      </c>
      <c r="D67" s="129" t="s">
        <v>327</v>
      </c>
      <c r="E67" s="133">
        <v>45369</v>
      </c>
      <c r="F67" s="153">
        <f>1+2+3+24</f>
        <v>30</v>
      </c>
      <c r="G67" s="135">
        <v>1325601</v>
      </c>
      <c r="H67" s="119">
        <f>+(1300000/30)*F67</f>
        <v>1300000</v>
      </c>
      <c r="I67" s="119">
        <f>+(((1300000*92%)+162000)/30)*F67</f>
        <v>1358000</v>
      </c>
      <c r="J67" s="111">
        <f t="shared" si="8"/>
        <v>-32399</v>
      </c>
      <c r="K67" s="135" t="s">
        <v>552</v>
      </c>
      <c r="L67" s="136" t="s">
        <v>306</v>
      </c>
      <c r="M67" s="129"/>
      <c r="N67" s="129"/>
      <c r="O67" s="129"/>
      <c r="P67" s="129"/>
    </row>
    <row r="68" spans="1:16" hidden="1">
      <c r="A68" s="156" t="s">
        <v>328</v>
      </c>
      <c r="B68" s="129" t="s">
        <v>17</v>
      </c>
      <c r="C68" s="128">
        <v>21147562</v>
      </c>
      <c r="D68" s="129" t="s">
        <v>335</v>
      </c>
      <c r="E68" s="133">
        <v>45374</v>
      </c>
      <c r="F68" s="134">
        <v>30</v>
      </c>
      <c r="G68" s="119">
        <v>1358000</v>
      </c>
      <c r="H68" s="119">
        <f>+(1300000/30)*F68</f>
        <v>1300000</v>
      </c>
      <c r="I68" s="119">
        <f>+(((1300000*92%)+162000)/30)*F68</f>
        <v>1358000</v>
      </c>
      <c r="J68" s="119">
        <f t="shared" si="8"/>
        <v>0</v>
      </c>
      <c r="K68" s="119" t="s">
        <v>554</v>
      </c>
      <c r="L68" s="136" t="s">
        <v>306</v>
      </c>
      <c r="M68" s="129"/>
      <c r="N68" s="129"/>
      <c r="O68" s="129"/>
      <c r="P68" s="123"/>
    </row>
    <row r="69" spans="1:16" hidden="1">
      <c r="A69" s="76"/>
      <c r="B69" s="113"/>
      <c r="C69" s="130">
        <v>52316756</v>
      </c>
      <c r="D69" s="131" t="s">
        <v>536</v>
      </c>
      <c r="E69" s="114">
        <v>45385</v>
      </c>
      <c r="F69" s="151">
        <v>28</v>
      </c>
      <c r="G69" s="132">
        <v>1267467</v>
      </c>
      <c r="H69" s="119">
        <f>+(1300000/30)*F69</f>
        <v>1213333.3333333335</v>
      </c>
      <c r="I69" s="119">
        <f>+(((1300000*92%)+162000)/30)*F69</f>
        <v>1267466.6666666665</v>
      </c>
      <c r="J69" s="119">
        <f t="shared" si="8"/>
        <v>0.33333333348855376</v>
      </c>
      <c r="K69" s="132" t="s">
        <v>552</v>
      </c>
      <c r="L69" s="127"/>
      <c r="M69" s="131"/>
      <c r="N69" s="131"/>
      <c r="O69" s="131"/>
      <c r="P69" s="123"/>
    </row>
    <row r="70" spans="1:16" hidden="1">
      <c r="A70" s="156" t="s">
        <v>298</v>
      </c>
      <c r="B70" s="129" t="s">
        <v>17</v>
      </c>
      <c r="C70" s="130">
        <v>52064422</v>
      </c>
      <c r="D70" s="131" t="s">
        <v>301</v>
      </c>
      <c r="E70" s="116">
        <v>45369</v>
      </c>
      <c r="F70" s="137">
        <v>30</v>
      </c>
      <c r="G70" s="119">
        <v>1358000</v>
      </c>
      <c r="H70" s="119">
        <f>+(1300000/30)*F70</f>
        <v>1300000</v>
      </c>
      <c r="I70" s="119">
        <f>+(((1300000*92%)+162000)/30)*F70</f>
        <v>1358000</v>
      </c>
      <c r="J70" s="119">
        <f t="shared" si="8"/>
        <v>0</v>
      </c>
      <c r="K70" s="119" t="s">
        <v>552</v>
      </c>
      <c r="L70" s="125" t="s">
        <v>259</v>
      </c>
      <c r="M70" s="123"/>
      <c r="N70" s="123"/>
      <c r="O70" s="123"/>
      <c r="P70" s="123"/>
    </row>
    <row r="71" spans="1:16" hidden="1">
      <c r="A71" s="122" t="s">
        <v>339</v>
      </c>
      <c r="B71" s="122" t="s">
        <v>373</v>
      </c>
      <c r="C71" s="115">
        <v>1032432651</v>
      </c>
      <c r="D71" s="139" t="s">
        <v>377</v>
      </c>
      <c r="E71" s="114">
        <v>45369</v>
      </c>
      <c r="F71" s="124">
        <v>30</v>
      </c>
      <c r="G71" s="119">
        <v>1440800</v>
      </c>
      <c r="H71" s="119">
        <f>+(1390000/30)*F71</f>
        <v>1390000</v>
      </c>
      <c r="I71" s="119">
        <f>+(((1390000*92%)+162000)/30)*F71</f>
        <v>1440800</v>
      </c>
      <c r="J71" s="119">
        <f t="shared" si="8"/>
        <v>0</v>
      </c>
      <c r="K71" s="119" t="s">
        <v>552</v>
      </c>
      <c r="L71" s="125" t="s">
        <v>341</v>
      </c>
      <c r="M71" s="123"/>
      <c r="N71" s="123"/>
      <c r="O71" s="123"/>
      <c r="P71" s="123"/>
    </row>
    <row r="72" spans="1:16" hidden="1">
      <c r="A72" s="156" t="s">
        <v>309</v>
      </c>
      <c r="B72" s="129" t="s">
        <v>17</v>
      </c>
      <c r="C72" s="128">
        <v>1020727061</v>
      </c>
      <c r="D72" s="129" t="s">
        <v>310</v>
      </c>
      <c r="E72" s="133">
        <v>45369</v>
      </c>
      <c r="F72" s="134">
        <v>30</v>
      </c>
      <c r="G72" s="135">
        <v>1358000</v>
      </c>
      <c r="H72" s="119">
        <f t="shared" ref="H72:H77" si="9">+(1300000/30)*F72</f>
        <v>1300000</v>
      </c>
      <c r="I72" s="119">
        <f t="shared" ref="I72:I77" si="10">+(((1300000*92%)+162000)/30)*F72</f>
        <v>1358000</v>
      </c>
      <c r="J72" s="119">
        <f t="shared" si="8"/>
        <v>0</v>
      </c>
      <c r="K72" s="135" t="s">
        <v>552</v>
      </c>
      <c r="L72" s="136" t="s">
        <v>306</v>
      </c>
      <c r="M72" s="129"/>
      <c r="N72" s="129"/>
      <c r="O72" s="129"/>
      <c r="P72" s="123"/>
    </row>
    <row r="73" spans="1:16" hidden="1">
      <c r="A73" s="122" t="s">
        <v>386</v>
      </c>
      <c r="B73" s="122" t="s">
        <v>17</v>
      </c>
      <c r="C73" s="115">
        <v>6089430</v>
      </c>
      <c r="D73" s="123" t="s">
        <v>389</v>
      </c>
      <c r="E73" s="114">
        <v>45374</v>
      </c>
      <c r="F73" s="124">
        <v>30</v>
      </c>
      <c r="G73" s="119">
        <v>1358000</v>
      </c>
      <c r="H73" s="119">
        <f t="shared" si="9"/>
        <v>1300000</v>
      </c>
      <c r="I73" s="119">
        <f t="shared" si="10"/>
        <v>1358000</v>
      </c>
      <c r="J73" s="119">
        <f t="shared" si="8"/>
        <v>0</v>
      </c>
      <c r="K73" s="119" t="s">
        <v>551</v>
      </c>
      <c r="L73" s="125" t="s">
        <v>341</v>
      </c>
      <c r="M73" s="123"/>
      <c r="N73" s="123"/>
      <c r="O73" s="123"/>
      <c r="P73" s="123"/>
    </row>
    <row r="74" spans="1:16" hidden="1">
      <c r="A74" s="126" t="s">
        <v>320</v>
      </c>
      <c r="B74" s="129" t="s">
        <v>17</v>
      </c>
      <c r="C74" s="128">
        <v>39798258</v>
      </c>
      <c r="D74" s="129" t="s">
        <v>323</v>
      </c>
      <c r="E74" s="133">
        <v>45369</v>
      </c>
      <c r="F74" s="134">
        <v>30</v>
      </c>
      <c r="G74" s="135">
        <v>1358000</v>
      </c>
      <c r="H74" s="119">
        <f t="shared" si="9"/>
        <v>1300000</v>
      </c>
      <c r="I74" s="119">
        <f t="shared" si="10"/>
        <v>1358000</v>
      </c>
      <c r="J74" s="119">
        <f t="shared" si="8"/>
        <v>0</v>
      </c>
      <c r="K74" s="135" t="s">
        <v>552</v>
      </c>
      <c r="L74" s="136" t="s">
        <v>306</v>
      </c>
      <c r="M74" s="129"/>
      <c r="N74" s="129"/>
      <c r="O74" s="129"/>
      <c r="P74" s="123"/>
    </row>
    <row r="75" spans="1:16" hidden="1">
      <c r="A75" s="122" t="s">
        <v>386</v>
      </c>
      <c r="B75" s="122" t="s">
        <v>17</v>
      </c>
      <c r="C75" s="115">
        <v>1001276187</v>
      </c>
      <c r="D75" s="123" t="s">
        <v>390</v>
      </c>
      <c r="E75" s="114">
        <v>45374</v>
      </c>
      <c r="F75" s="124">
        <v>30</v>
      </c>
      <c r="G75" s="119">
        <v>1358000</v>
      </c>
      <c r="H75" s="119">
        <f t="shared" si="9"/>
        <v>1300000</v>
      </c>
      <c r="I75" s="119">
        <f t="shared" si="10"/>
        <v>1358000</v>
      </c>
      <c r="J75" s="119">
        <f t="shared" si="8"/>
        <v>0</v>
      </c>
      <c r="K75" s="119" t="s">
        <v>556</v>
      </c>
      <c r="L75" s="125" t="s">
        <v>341</v>
      </c>
      <c r="M75" s="123"/>
      <c r="N75" s="123"/>
      <c r="O75" s="123"/>
      <c r="P75" s="123"/>
    </row>
    <row r="76" spans="1:16" hidden="1">
      <c r="A76" s="159" t="s">
        <v>406</v>
      </c>
      <c r="B76" s="127" t="s">
        <v>17</v>
      </c>
      <c r="C76" s="130">
        <v>1013657628</v>
      </c>
      <c r="D76" s="131" t="s">
        <v>409</v>
      </c>
      <c r="E76" s="114">
        <v>45369</v>
      </c>
      <c r="F76" s="124">
        <v>30</v>
      </c>
      <c r="G76" s="132">
        <v>1358000</v>
      </c>
      <c r="H76" s="119">
        <f t="shared" si="9"/>
        <v>1300000</v>
      </c>
      <c r="I76" s="119">
        <f t="shared" si="10"/>
        <v>1358000</v>
      </c>
      <c r="J76" s="119">
        <f t="shared" si="8"/>
        <v>0</v>
      </c>
      <c r="K76" s="132" t="s">
        <v>552</v>
      </c>
      <c r="L76" s="127" t="s">
        <v>408</v>
      </c>
      <c r="M76" s="131"/>
      <c r="N76" s="131"/>
      <c r="O76" s="131"/>
      <c r="P76" s="123"/>
    </row>
    <row r="77" spans="1:16" hidden="1">
      <c r="A77" s="126" t="s">
        <v>304</v>
      </c>
      <c r="B77" s="129" t="s">
        <v>17</v>
      </c>
      <c r="C77" s="128">
        <v>52130077</v>
      </c>
      <c r="D77" s="129" t="s">
        <v>307</v>
      </c>
      <c r="E77" s="133">
        <v>45369</v>
      </c>
      <c r="F77" s="134">
        <v>30</v>
      </c>
      <c r="G77" s="135">
        <v>1358000</v>
      </c>
      <c r="H77" s="119">
        <f t="shared" si="9"/>
        <v>1300000</v>
      </c>
      <c r="I77" s="119">
        <f t="shared" si="10"/>
        <v>1358000</v>
      </c>
      <c r="J77" s="119">
        <f t="shared" si="8"/>
        <v>0</v>
      </c>
      <c r="K77" s="135" t="s">
        <v>551</v>
      </c>
      <c r="L77" s="136" t="s">
        <v>306</v>
      </c>
      <c r="M77" s="129"/>
      <c r="N77" s="129"/>
      <c r="O77" s="129"/>
      <c r="P77" s="123"/>
    </row>
    <row r="78" spans="1:16" hidden="1">
      <c r="A78" s="156" t="s">
        <v>328</v>
      </c>
      <c r="B78" s="129" t="s">
        <v>373</v>
      </c>
      <c r="C78" s="128">
        <v>1020805845</v>
      </c>
      <c r="D78" s="129" t="s">
        <v>334</v>
      </c>
      <c r="E78" s="133">
        <v>45374</v>
      </c>
      <c r="F78" s="134">
        <v>30</v>
      </c>
      <c r="G78" s="135">
        <v>1440800</v>
      </c>
      <c r="H78" s="119">
        <f>+(1390000/30)*F78</f>
        <v>1390000</v>
      </c>
      <c r="I78" s="119">
        <f>+(((1390000*92%)+162000)/30)*F78</f>
        <v>1440800</v>
      </c>
      <c r="J78" s="119">
        <f t="shared" si="8"/>
        <v>0</v>
      </c>
      <c r="K78" s="135" t="s">
        <v>552</v>
      </c>
      <c r="L78" s="136" t="s">
        <v>306</v>
      </c>
      <c r="M78" s="129"/>
      <c r="N78" s="129"/>
      <c r="O78" s="129"/>
      <c r="P78" s="123"/>
    </row>
    <row r="79" spans="1:16" hidden="1">
      <c r="A79" s="122" t="s">
        <v>339</v>
      </c>
      <c r="B79" s="122" t="s">
        <v>373</v>
      </c>
      <c r="C79" s="115">
        <v>1016028720</v>
      </c>
      <c r="D79" s="123" t="s">
        <v>378</v>
      </c>
      <c r="E79" s="114">
        <v>45369</v>
      </c>
      <c r="F79" s="124">
        <v>30</v>
      </c>
      <c r="G79" s="119">
        <v>1440800</v>
      </c>
      <c r="H79" s="119">
        <f>+(1390000/30)*F79</f>
        <v>1390000</v>
      </c>
      <c r="I79" s="119">
        <f>+(((1390000*92%)+162000)/30)*F79</f>
        <v>1440800</v>
      </c>
      <c r="J79" s="119">
        <f t="shared" si="8"/>
        <v>0</v>
      </c>
      <c r="K79" s="119" t="s">
        <v>552</v>
      </c>
      <c r="L79" s="125" t="s">
        <v>341</v>
      </c>
      <c r="M79" s="123"/>
      <c r="N79" s="123"/>
      <c r="O79" s="123"/>
      <c r="P79" s="123"/>
    </row>
    <row r="80" spans="1:16" hidden="1">
      <c r="A80" s="122" t="s">
        <v>386</v>
      </c>
      <c r="B80" s="122" t="s">
        <v>17</v>
      </c>
      <c r="C80" s="115">
        <v>39659470</v>
      </c>
      <c r="D80" s="123" t="s">
        <v>521</v>
      </c>
      <c r="E80" s="114">
        <v>45369</v>
      </c>
      <c r="F80" s="124">
        <v>30</v>
      </c>
      <c r="G80" s="119">
        <v>1358000</v>
      </c>
      <c r="H80" s="119">
        <f>+(1300000/30)*F80</f>
        <v>1300000</v>
      </c>
      <c r="I80" s="119">
        <f>+(((1300000*92%)+162000)/30)*F80</f>
        <v>1358000</v>
      </c>
      <c r="J80" s="119">
        <f t="shared" si="8"/>
        <v>0</v>
      </c>
      <c r="K80" s="119" t="s">
        <v>551</v>
      </c>
      <c r="L80" s="125" t="s">
        <v>341</v>
      </c>
      <c r="M80" s="123"/>
      <c r="N80" s="123"/>
      <c r="O80" s="123"/>
      <c r="P80" s="123"/>
    </row>
    <row r="81" spans="1:16" hidden="1">
      <c r="A81" s="156" t="s">
        <v>262</v>
      </c>
      <c r="B81" s="122" t="s">
        <v>17</v>
      </c>
      <c r="C81" s="128">
        <v>1013618485</v>
      </c>
      <c r="D81" s="129" t="s">
        <v>522</v>
      </c>
      <c r="E81" s="143">
        <v>45371</v>
      </c>
      <c r="F81" s="137">
        <v>30</v>
      </c>
      <c r="G81" s="119">
        <v>1358000</v>
      </c>
      <c r="H81" s="119">
        <f>+(1300000/30)*F81</f>
        <v>1300000</v>
      </c>
      <c r="I81" s="119">
        <f>+(((1300000*92%)+162000)/30)*F81</f>
        <v>1358000</v>
      </c>
      <c r="J81" s="119">
        <f t="shared" si="8"/>
        <v>0</v>
      </c>
      <c r="K81" s="119" t="s">
        <v>554</v>
      </c>
      <c r="L81" s="125" t="s">
        <v>259</v>
      </c>
      <c r="M81" s="123"/>
      <c r="N81" s="123"/>
      <c r="O81" s="123"/>
      <c r="P81" s="123"/>
    </row>
    <row r="82" spans="1:16" hidden="1">
      <c r="A82" s="156" t="s">
        <v>328</v>
      </c>
      <c r="B82" s="129" t="s">
        <v>17</v>
      </c>
      <c r="C82" s="128">
        <v>1019060189</v>
      </c>
      <c r="D82" s="129" t="s">
        <v>329</v>
      </c>
      <c r="E82" s="133">
        <v>45369</v>
      </c>
      <c r="F82" s="134">
        <v>30</v>
      </c>
      <c r="G82" s="135">
        <v>1358000</v>
      </c>
      <c r="H82" s="119">
        <f>+(1300000/30)*F82</f>
        <v>1300000</v>
      </c>
      <c r="I82" s="119">
        <f>+(((1300000*92%)+162000)/30)*F82</f>
        <v>1358000</v>
      </c>
      <c r="J82" s="119">
        <f t="shared" si="8"/>
        <v>0</v>
      </c>
      <c r="K82" s="135" t="s">
        <v>555</v>
      </c>
      <c r="L82" s="136" t="s">
        <v>306</v>
      </c>
      <c r="M82" s="129"/>
      <c r="N82" s="129"/>
      <c r="O82" s="129"/>
      <c r="P82" s="123"/>
    </row>
    <row r="83" spans="1:16" hidden="1">
      <c r="A83" s="75"/>
      <c r="B83" s="112"/>
      <c r="C83" s="128">
        <v>1003532987</v>
      </c>
      <c r="D83" s="129" t="s">
        <v>537</v>
      </c>
      <c r="E83" s="133">
        <v>45395</v>
      </c>
      <c r="F83" s="153">
        <v>18</v>
      </c>
      <c r="G83" s="135">
        <v>864480</v>
      </c>
      <c r="H83" s="119">
        <f>+(1390000/30)*F83</f>
        <v>834000</v>
      </c>
      <c r="I83" s="119">
        <f>+(((1390000*92%)+162000)/30)*F83</f>
        <v>864480</v>
      </c>
      <c r="J83" s="119">
        <f t="shared" si="8"/>
        <v>0</v>
      </c>
      <c r="K83" s="135" t="s">
        <v>552</v>
      </c>
      <c r="L83" s="136"/>
      <c r="M83" s="129"/>
      <c r="N83" s="129"/>
      <c r="O83" s="129"/>
      <c r="P83" s="123"/>
    </row>
    <row r="84" spans="1:16" hidden="1">
      <c r="A84" s="159" t="s">
        <v>442</v>
      </c>
      <c r="B84" s="127" t="s">
        <v>423</v>
      </c>
      <c r="C84" s="130">
        <v>51970521</v>
      </c>
      <c r="D84" s="131" t="s">
        <v>443</v>
      </c>
      <c r="E84" s="114">
        <v>45369</v>
      </c>
      <c r="F84" s="124">
        <v>30</v>
      </c>
      <c r="G84" s="132">
        <v>1358000</v>
      </c>
      <c r="H84" s="119">
        <f>+(1300000/30)*F84</f>
        <v>1300000</v>
      </c>
      <c r="I84" s="119">
        <f>+(((1300000*92%)+162000)/30)*F84</f>
        <v>1358000</v>
      </c>
      <c r="J84" s="119">
        <f t="shared" si="8"/>
        <v>0</v>
      </c>
      <c r="K84" s="132" t="s">
        <v>551</v>
      </c>
      <c r="L84" s="127" t="s">
        <v>408</v>
      </c>
      <c r="M84" s="131"/>
      <c r="N84" s="131"/>
      <c r="O84" s="131"/>
      <c r="P84" s="73" t="s">
        <v>564</v>
      </c>
    </row>
    <row r="85" spans="1:16" hidden="1">
      <c r="A85" s="126" t="s">
        <v>304</v>
      </c>
      <c r="B85" s="129" t="s">
        <v>17</v>
      </c>
      <c r="C85" s="128">
        <v>1118802810</v>
      </c>
      <c r="D85" s="129" t="s">
        <v>308</v>
      </c>
      <c r="E85" s="133">
        <v>45369</v>
      </c>
      <c r="F85" s="153">
        <f>2+9</f>
        <v>11</v>
      </c>
      <c r="G85" s="135"/>
      <c r="H85" s="119">
        <f>+(1300000/30)*F85</f>
        <v>476666.66666666669</v>
      </c>
      <c r="I85" s="119">
        <f>+(((1300000*92%)+162000)/30)*F85</f>
        <v>497933.33333333331</v>
      </c>
      <c r="J85" s="111">
        <f t="shared" si="8"/>
        <v>-497933.33333333331</v>
      </c>
      <c r="K85" s="135" t="s">
        <v>511</v>
      </c>
      <c r="L85" s="136" t="s">
        <v>306</v>
      </c>
      <c r="M85" s="129"/>
      <c r="N85" s="129"/>
      <c r="O85" s="129"/>
      <c r="P85" s="123"/>
    </row>
    <row r="86" spans="1:16" hidden="1">
      <c r="A86" s="122" t="s">
        <v>386</v>
      </c>
      <c r="B86" s="122" t="s">
        <v>17</v>
      </c>
      <c r="C86" s="115">
        <v>1050971458</v>
      </c>
      <c r="D86" s="123" t="s">
        <v>391</v>
      </c>
      <c r="E86" s="114">
        <v>45369</v>
      </c>
      <c r="F86" s="124">
        <v>30</v>
      </c>
      <c r="G86" s="119">
        <v>1358000</v>
      </c>
      <c r="H86" s="119">
        <f>+(1300000/30)*F86</f>
        <v>1300000</v>
      </c>
      <c r="I86" s="119">
        <f>+(((1300000*92%)+162000)/30)*F86</f>
        <v>1358000</v>
      </c>
      <c r="J86" s="119">
        <f t="shared" si="8"/>
        <v>0</v>
      </c>
      <c r="K86" s="119" t="s">
        <v>552</v>
      </c>
      <c r="L86" s="125" t="s">
        <v>341</v>
      </c>
      <c r="M86" s="123"/>
      <c r="N86" s="123"/>
      <c r="O86" s="123"/>
      <c r="P86" s="123"/>
    </row>
    <row r="87" spans="1:16" hidden="1">
      <c r="A87" s="122" t="s">
        <v>339</v>
      </c>
      <c r="B87" s="122" t="s">
        <v>373</v>
      </c>
      <c r="C87" s="115">
        <v>1026258321</v>
      </c>
      <c r="D87" s="144" t="s">
        <v>357</v>
      </c>
      <c r="E87" s="114">
        <v>45369</v>
      </c>
      <c r="F87" s="124">
        <v>30</v>
      </c>
      <c r="G87" s="119">
        <v>1440800</v>
      </c>
      <c r="H87" s="119">
        <f>+(1390000/30)*F87</f>
        <v>1390000</v>
      </c>
      <c r="I87" s="119">
        <f>+(((1390000*92%)+162000)/30)*F87</f>
        <v>1440800</v>
      </c>
      <c r="J87" s="119">
        <f t="shared" si="8"/>
        <v>0</v>
      </c>
      <c r="K87" s="119" t="s">
        <v>553</v>
      </c>
      <c r="L87" s="125" t="s">
        <v>341</v>
      </c>
      <c r="M87" s="123"/>
      <c r="N87" s="123"/>
      <c r="O87" s="123"/>
      <c r="P87" s="123"/>
    </row>
    <row r="88" spans="1:16" hidden="1">
      <c r="A88" s="155" t="s">
        <v>283</v>
      </c>
      <c r="B88" s="129" t="s">
        <v>17</v>
      </c>
      <c r="C88" s="145">
        <v>1002230033</v>
      </c>
      <c r="D88" s="146" t="s">
        <v>285</v>
      </c>
      <c r="E88" s="116">
        <v>45369</v>
      </c>
      <c r="F88" s="149">
        <f>1+9+20</f>
        <v>30</v>
      </c>
      <c r="G88" s="119">
        <v>1304002</v>
      </c>
      <c r="H88" s="119">
        <f>+(1300000/30)*F88</f>
        <v>1300000</v>
      </c>
      <c r="I88" s="119">
        <f>+(((1300000*92%)+162000)/30)*F88</f>
        <v>1358000</v>
      </c>
      <c r="J88" s="111">
        <f t="shared" si="8"/>
        <v>-53998</v>
      </c>
      <c r="K88" s="119" t="s">
        <v>552</v>
      </c>
      <c r="L88" s="125" t="s">
        <v>259</v>
      </c>
      <c r="M88" s="123"/>
      <c r="N88" s="123"/>
      <c r="O88" s="123"/>
      <c r="P88" s="123"/>
    </row>
    <row r="89" spans="1:16" hidden="1">
      <c r="A89" s="126" t="s">
        <v>306</v>
      </c>
      <c r="B89" s="129" t="s">
        <v>302</v>
      </c>
      <c r="C89" s="128">
        <v>19406447</v>
      </c>
      <c r="D89" s="129" t="s">
        <v>338</v>
      </c>
      <c r="E89" s="133">
        <v>45369</v>
      </c>
      <c r="F89" s="134">
        <v>30</v>
      </c>
      <c r="G89" s="135">
        <v>1680920</v>
      </c>
      <c r="H89" s="119">
        <f>+(1401000/30)*F89</f>
        <v>1401000</v>
      </c>
      <c r="I89" s="119">
        <f>+(((1401000*92%)+(162000+135000+95000))/30)*F89</f>
        <v>1680920</v>
      </c>
      <c r="J89" s="119">
        <f t="shared" si="8"/>
        <v>0</v>
      </c>
      <c r="K89" s="135" t="s">
        <v>552</v>
      </c>
      <c r="L89" s="136" t="s">
        <v>306</v>
      </c>
      <c r="M89" s="129"/>
      <c r="N89" s="129"/>
      <c r="O89" s="129"/>
      <c r="P89" s="123"/>
    </row>
    <row r="90" spans="1:16" hidden="1">
      <c r="A90" s="156" t="s">
        <v>328</v>
      </c>
      <c r="B90" s="129" t="s">
        <v>17</v>
      </c>
      <c r="C90" s="128">
        <v>52389391</v>
      </c>
      <c r="D90" s="129" t="s">
        <v>330</v>
      </c>
      <c r="E90" s="133">
        <v>45369</v>
      </c>
      <c r="F90" s="134">
        <v>30</v>
      </c>
      <c r="G90" s="135">
        <v>1358000</v>
      </c>
      <c r="H90" s="119">
        <f>+(1300000/30)*F90</f>
        <v>1300000</v>
      </c>
      <c r="I90" s="119">
        <f>+(((1300000*92%)+162000)/30)*F90</f>
        <v>1358000</v>
      </c>
      <c r="J90" s="119">
        <f t="shared" si="8"/>
        <v>0</v>
      </c>
      <c r="K90" s="135" t="s">
        <v>551</v>
      </c>
      <c r="L90" s="136" t="s">
        <v>306</v>
      </c>
      <c r="M90" s="129"/>
      <c r="N90" s="129"/>
      <c r="O90" s="129"/>
      <c r="P90" s="123"/>
    </row>
    <row r="91" spans="1:16" hidden="1">
      <c r="A91" s="156" t="s">
        <v>274</v>
      </c>
      <c r="B91" s="129" t="s">
        <v>423</v>
      </c>
      <c r="C91" s="128">
        <v>52028199</v>
      </c>
      <c r="D91" s="129" t="s">
        <v>276</v>
      </c>
      <c r="E91" s="143">
        <v>45371</v>
      </c>
      <c r="F91" s="137">
        <v>30</v>
      </c>
      <c r="G91" s="119">
        <v>1358000</v>
      </c>
      <c r="H91" s="119">
        <f>+(1300000/30)*F91</f>
        <v>1300000</v>
      </c>
      <c r="I91" s="119">
        <f>+(((1300000*92%)+162000)/30)*F91</f>
        <v>1358000</v>
      </c>
      <c r="J91" s="119">
        <f t="shared" si="8"/>
        <v>0</v>
      </c>
      <c r="K91" s="119" t="s">
        <v>512</v>
      </c>
      <c r="L91" s="125" t="s">
        <v>259</v>
      </c>
      <c r="M91" s="123"/>
      <c r="N91" s="123"/>
      <c r="O91" s="123"/>
      <c r="P91" s="123"/>
    </row>
    <row r="92" spans="1:16" hidden="1">
      <c r="A92" s="75" t="s">
        <v>1396</v>
      </c>
      <c r="B92" s="112" t="s">
        <v>373</v>
      </c>
      <c r="C92" s="128">
        <v>80194605</v>
      </c>
      <c r="D92" s="129" t="s">
        <v>538</v>
      </c>
      <c r="E92" s="143">
        <v>45395</v>
      </c>
      <c r="F92" s="149">
        <v>18</v>
      </c>
      <c r="G92" s="119">
        <v>864480</v>
      </c>
      <c r="H92" s="119">
        <f>+(1390000/30)*F92</f>
        <v>834000</v>
      </c>
      <c r="I92" s="119">
        <f>+(((1390000*92%)+162000)/30)*F92</f>
        <v>864480</v>
      </c>
      <c r="J92" s="119">
        <f t="shared" si="8"/>
        <v>0</v>
      </c>
      <c r="K92" s="119" t="s">
        <v>552</v>
      </c>
      <c r="L92" s="125"/>
      <c r="M92" s="123"/>
      <c r="N92" s="123"/>
      <c r="O92" s="123"/>
      <c r="P92" s="123"/>
    </row>
    <row r="93" spans="1:16" hidden="1">
      <c r="A93" s="159" t="s">
        <v>406</v>
      </c>
      <c r="B93" s="127" t="s">
        <v>17</v>
      </c>
      <c r="C93" s="130">
        <v>1030668192</v>
      </c>
      <c r="D93" s="131" t="s">
        <v>410</v>
      </c>
      <c r="E93" s="114">
        <v>45369</v>
      </c>
      <c r="F93" s="124">
        <v>30</v>
      </c>
      <c r="G93" s="132">
        <v>1358000</v>
      </c>
      <c r="H93" s="119">
        <f>+(1300000/30)*F93</f>
        <v>1300000</v>
      </c>
      <c r="I93" s="119">
        <f>+(((1300000*92%)+162000)/30)*F93</f>
        <v>1358000</v>
      </c>
      <c r="J93" s="119">
        <f t="shared" si="8"/>
        <v>0</v>
      </c>
      <c r="K93" s="132" t="s">
        <v>552</v>
      </c>
      <c r="L93" s="127" t="s">
        <v>408</v>
      </c>
      <c r="M93" s="131"/>
      <c r="N93" s="131"/>
      <c r="O93" s="131"/>
      <c r="P93" s="123"/>
    </row>
    <row r="94" spans="1:16" hidden="1">
      <c r="A94" s="122" t="s">
        <v>339</v>
      </c>
      <c r="B94" s="122" t="s">
        <v>17</v>
      </c>
      <c r="C94" s="115">
        <v>1022363890</v>
      </c>
      <c r="D94" s="123" t="s">
        <v>523</v>
      </c>
      <c r="E94" s="114">
        <v>45369</v>
      </c>
      <c r="F94" s="124">
        <v>30</v>
      </c>
      <c r="G94" s="119">
        <v>1358000</v>
      </c>
      <c r="H94" s="119">
        <f>+(1300000/30)*F94</f>
        <v>1300000</v>
      </c>
      <c r="I94" s="119">
        <f>+(((1300000*92%)+162000)/30)*F94</f>
        <v>1358000</v>
      </c>
      <c r="J94" s="119">
        <f t="shared" si="8"/>
        <v>0</v>
      </c>
      <c r="K94" s="119" t="s">
        <v>552</v>
      </c>
      <c r="L94" s="125" t="s">
        <v>341</v>
      </c>
      <c r="M94" s="123"/>
      <c r="N94" s="123"/>
      <c r="O94" s="123"/>
      <c r="P94" s="123"/>
    </row>
    <row r="95" spans="1:16" hidden="1">
      <c r="A95" s="122" t="s">
        <v>1396</v>
      </c>
      <c r="B95" s="127" t="s">
        <v>435</v>
      </c>
      <c r="C95" s="130">
        <v>52465439</v>
      </c>
      <c r="D95" s="131" t="s">
        <v>436</v>
      </c>
      <c r="E95" s="114">
        <v>45369</v>
      </c>
      <c r="F95" s="124">
        <v>30</v>
      </c>
      <c r="G95" s="154">
        <v>1358000</v>
      </c>
      <c r="H95" s="119">
        <f>+(1300000/30)*F95</f>
        <v>1300000</v>
      </c>
      <c r="I95" s="119">
        <f>+(((1300000*92%)+162000)/30)*F95</f>
        <v>1358000</v>
      </c>
      <c r="J95" s="119">
        <f t="shared" si="8"/>
        <v>0</v>
      </c>
      <c r="K95" s="132" t="s">
        <v>557</v>
      </c>
      <c r="L95" s="127" t="s">
        <v>408</v>
      </c>
      <c r="M95" s="131"/>
      <c r="N95" s="131"/>
      <c r="O95" s="131"/>
      <c r="P95" s="73" t="s">
        <v>565</v>
      </c>
    </row>
    <row r="96" spans="1:16" hidden="1">
      <c r="A96" s="122" t="s">
        <v>339</v>
      </c>
      <c r="B96" s="122" t="s">
        <v>17</v>
      </c>
      <c r="C96" s="115">
        <v>1033681788</v>
      </c>
      <c r="D96" s="123" t="s">
        <v>358</v>
      </c>
      <c r="E96" s="114">
        <v>45369</v>
      </c>
      <c r="F96" s="124">
        <v>30</v>
      </c>
      <c r="G96" s="119">
        <v>1358000</v>
      </c>
      <c r="H96" s="119">
        <f>+(1300000/30)*F96</f>
        <v>1300000</v>
      </c>
      <c r="I96" s="119">
        <f>+(((1300000*92%)+162000)/30)*F96</f>
        <v>1358000</v>
      </c>
      <c r="J96" s="119">
        <f t="shared" si="8"/>
        <v>0</v>
      </c>
      <c r="K96" s="119" t="s">
        <v>552</v>
      </c>
      <c r="L96" s="125" t="s">
        <v>341</v>
      </c>
      <c r="M96" s="123"/>
      <c r="N96" s="123"/>
      <c r="O96" s="123"/>
      <c r="P96" s="123"/>
    </row>
    <row r="97" spans="1:16" hidden="1">
      <c r="A97" s="159" t="s">
        <v>1396</v>
      </c>
      <c r="B97" s="129" t="s">
        <v>373</v>
      </c>
      <c r="C97" s="130">
        <v>14191476</v>
      </c>
      <c r="D97" s="131" t="s">
        <v>437</v>
      </c>
      <c r="E97" s="114">
        <v>45369</v>
      </c>
      <c r="F97" s="124">
        <v>30</v>
      </c>
      <c r="G97" s="132">
        <v>1440800</v>
      </c>
      <c r="H97" s="119">
        <f>+(1390000/30)*F97</f>
        <v>1390000</v>
      </c>
      <c r="I97" s="119">
        <f>+(((1390000*92%)+162000)/30)*F97</f>
        <v>1440800</v>
      </c>
      <c r="J97" s="119">
        <f t="shared" si="8"/>
        <v>0</v>
      </c>
      <c r="K97" s="132" t="s">
        <v>552</v>
      </c>
      <c r="L97" s="127" t="s">
        <v>408</v>
      </c>
      <c r="M97" s="131"/>
      <c r="N97" s="131"/>
      <c r="O97" s="131"/>
      <c r="P97" s="123"/>
    </row>
    <row r="98" spans="1:16" hidden="1">
      <c r="A98" s="159" t="s">
        <v>1397</v>
      </c>
      <c r="B98" s="127" t="s">
        <v>17</v>
      </c>
      <c r="C98" s="130">
        <v>1024566216</v>
      </c>
      <c r="D98" s="131" t="s">
        <v>438</v>
      </c>
      <c r="E98" s="114">
        <v>45369</v>
      </c>
      <c r="F98" s="124">
        <v>30</v>
      </c>
      <c r="G98" s="132">
        <v>1358000</v>
      </c>
      <c r="H98" s="119">
        <f>+(1300000/30)*F98</f>
        <v>1300000</v>
      </c>
      <c r="I98" s="119">
        <f>+(((1300000*92%)+162000)/30)*F98</f>
        <v>1358000</v>
      </c>
      <c r="J98" s="119">
        <f t="shared" ref="J98:J129" si="11">+G98-I98</f>
        <v>0</v>
      </c>
      <c r="K98" s="132" t="s">
        <v>552</v>
      </c>
      <c r="L98" s="127" t="s">
        <v>408</v>
      </c>
      <c r="M98" s="131"/>
      <c r="N98" s="131"/>
      <c r="O98" s="131"/>
      <c r="P98" s="123"/>
    </row>
    <row r="99" spans="1:16" hidden="1">
      <c r="A99" s="122" t="s">
        <v>339</v>
      </c>
      <c r="B99" s="122" t="s">
        <v>19</v>
      </c>
      <c r="C99" s="115">
        <v>1063148543</v>
      </c>
      <c r="D99" s="123" t="s">
        <v>359</v>
      </c>
      <c r="E99" s="114">
        <v>45369</v>
      </c>
      <c r="F99" s="115">
        <v>30</v>
      </c>
      <c r="G99" s="119">
        <v>1409520</v>
      </c>
      <c r="H99" s="119">
        <f>+(1356000/30)*F99</f>
        <v>1356000</v>
      </c>
      <c r="I99" s="119">
        <f>+(((1356000*92%)+162000)/30)*F99</f>
        <v>1409520</v>
      </c>
      <c r="J99" s="119">
        <f t="shared" si="11"/>
        <v>0</v>
      </c>
      <c r="K99" s="119" t="s">
        <v>555</v>
      </c>
      <c r="L99" s="125" t="s">
        <v>341</v>
      </c>
      <c r="M99" s="123"/>
      <c r="N99" s="123"/>
      <c r="O99" s="123"/>
      <c r="P99" s="123"/>
    </row>
    <row r="100" spans="1:16" hidden="1">
      <c r="A100" s="159" t="s">
        <v>413</v>
      </c>
      <c r="B100" s="127" t="s">
        <v>17</v>
      </c>
      <c r="C100" s="130">
        <v>69802250</v>
      </c>
      <c r="D100" s="131" t="s">
        <v>415</v>
      </c>
      <c r="E100" s="114">
        <v>45369</v>
      </c>
      <c r="F100" s="124">
        <v>30</v>
      </c>
      <c r="G100" s="132">
        <v>1358000</v>
      </c>
      <c r="H100" s="119">
        <f>+(1300000/30)*F100</f>
        <v>1300000</v>
      </c>
      <c r="I100" s="119">
        <f>+(((1300000*92%)+162000)/30)*F100</f>
        <v>1358000</v>
      </c>
      <c r="J100" s="119">
        <f t="shared" si="11"/>
        <v>0</v>
      </c>
      <c r="K100" s="132" t="s">
        <v>552</v>
      </c>
      <c r="L100" s="127" t="s">
        <v>408</v>
      </c>
      <c r="M100" s="131"/>
      <c r="N100" s="131"/>
      <c r="O100" s="131"/>
      <c r="P100" s="73" t="s">
        <v>569</v>
      </c>
    </row>
    <row r="101" spans="1:16" hidden="1">
      <c r="A101" s="159" t="s">
        <v>400</v>
      </c>
      <c r="B101" s="122" t="s">
        <v>17</v>
      </c>
      <c r="C101" s="115">
        <v>53048357</v>
      </c>
      <c r="D101" s="139" t="s">
        <v>404</v>
      </c>
      <c r="E101" s="114">
        <v>45369</v>
      </c>
      <c r="F101" s="124">
        <v>30</v>
      </c>
      <c r="G101" s="119">
        <v>1358000</v>
      </c>
      <c r="H101" s="119">
        <f>+(1300000/30)*F101</f>
        <v>1300000</v>
      </c>
      <c r="I101" s="119">
        <f>+(((1300000*92%)+162000)/30)*F101</f>
        <v>1358000</v>
      </c>
      <c r="J101" s="119">
        <f t="shared" si="11"/>
        <v>0</v>
      </c>
      <c r="K101" s="119" t="s">
        <v>552</v>
      </c>
      <c r="L101" s="125" t="s">
        <v>341</v>
      </c>
      <c r="M101" s="123"/>
      <c r="N101" s="123"/>
      <c r="O101" s="123"/>
      <c r="P101" s="123"/>
    </row>
    <row r="102" spans="1:16" hidden="1">
      <c r="A102" s="156" t="s">
        <v>269</v>
      </c>
      <c r="B102" s="129" t="s">
        <v>17</v>
      </c>
      <c r="C102" s="128">
        <v>52635791</v>
      </c>
      <c r="D102" s="129" t="s">
        <v>271</v>
      </c>
      <c r="E102" s="116">
        <v>45369</v>
      </c>
      <c r="F102" s="137">
        <v>30</v>
      </c>
      <c r="G102" s="119">
        <v>1358000</v>
      </c>
      <c r="H102" s="119">
        <f>+(1300000/30)*F102</f>
        <v>1300000</v>
      </c>
      <c r="I102" s="119">
        <f>+(((1300000*92%)+162000)/30)*F102</f>
        <v>1358000</v>
      </c>
      <c r="J102" s="119">
        <f t="shared" si="11"/>
        <v>0</v>
      </c>
      <c r="K102" s="119" t="s">
        <v>552</v>
      </c>
      <c r="L102" s="125" t="s">
        <v>259</v>
      </c>
      <c r="M102" s="123"/>
      <c r="N102" s="123"/>
      <c r="O102" s="123"/>
      <c r="P102" s="123"/>
    </row>
    <row r="103" spans="1:16" hidden="1">
      <c r="A103" s="122" t="s">
        <v>1396</v>
      </c>
      <c r="B103" s="127" t="s">
        <v>17</v>
      </c>
      <c r="C103" s="130">
        <v>52832379</v>
      </c>
      <c r="D103" s="131" t="s">
        <v>434</v>
      </c>
      <c r="E103" s="114">
        <v>45369</v>
      </c>
      <c r="F103" s="124">
        <v>30</v>
      </c>
      <c r="G103" s="132">
        <v>1358000</v>
      </c>
      <c r="H103" s="119">
        <f>+(1300000/30)*F103</f>
        <v>1300000</v>
      </c>
      <c r="I103" s="119">
        <f>+(((1300000*92%)+162000)/30)*F103</f>
        <v>1358000</v>
      </c>
      <c r="J103" s="119">
        <f t="shared" si="11"/>
        <v>0</v>
      </c>
      <c r="K103" s="132" t="s">
        <v>552</v>
      </c>
      <c r="L103" s="127" t="s">
        <v>408</v>
      </c>
      <c r="M103" s="131"/>
      <c r="N103" s="131"/>
      <c r="O103" s="131"/>
      <c r="P103" s="123"/>
    </row>
    <row r="104" spans="1:16" hidden="1">
      <c r="A104" s="156" t="s">
        <v>274</v>
      </c>
      <c r="B104" s="129" t="s">
        <v>423</v>
      </c>
      <c r="C104" s="128">
        <v>1016105801</v>
      </c>
      <c r="D104" s="129" t="s">
        <v>277</v>
      </c>
      <c r="E104" s="116">
        <v>45369</v>
      </c>
      <c r="F104" s="137">
        <v>30</v>
      </c>
      <c r="G104" s="119">
        <v>1358000</v>
      </c>
      <c r="H104" s="119">
        <f>+(1300000/30)*F104</f>
        <v>1300000</v>
      </c>
      <c r="I104" s="119">
        <f>+(((1300000*92%)+162000)/30)*F104</f>
        <v>1358000</v>
      </c>
      <c r="J104" s="119">
        <f t="shared" si="11"/>
        <v>0</v>
      </c>
      <c r="K104" s="119" t="s">
        <v>552</v>
      </c>
      <c r="L104" s="125" t="s">
        <v>259</v>
      </c>
      <c r="M104" s="123"/>
      <c r="N104" s="123"/>
      <c r="O104" s="123"/>
      <c r="P104" s="123"/>
    </row>
    <row r="105" spans="1:16" hidden="1">
      <c r="A105" s="75" t="s">
        <v>413</v>
      </c>
      <c r="B105" s="112" t="s">
        <v>373</v>
      </c>
      <c r="C105" s="128">
        <v>10944616</v>
      </c>
      <c r="D105" s="129" t="s">
        <v>539</v>
      </c>
      <c r="E105" s="116">
        <v>45392</v>
      </c>
      <c r="F105" s="149">
        <v>21</v>
      </c>
      <c r="G105" s="119">
        <v>1008560</v>
      </c>
      <c r="H105" s="119">
        <f>+(1390000/30)*F105</f>
        <v>973000</v>
      </c>
      <c r="I105" s="119">
        <f>+(((1390000*92%)+162000)/30)*F105</f>
        <v>1008560</v>
      </c>
      <c r="J105" s="119">
        <f t="shared" si="11"/>
        <v>0</v>
      </c>
      <c r="K105" s="119" t="s">
        <v>556</v>
      </c>
      <c r="L105" s="125"/>
      <c r="M105" s="123"/>
      <c r="N105" s="123"/>
      <c r="O105" s="123"/>
      <c r="P105" s="123"/>
    </row>
    <row r="106" spans="1:16" hidden="1">
      <c r="A106" s="156" t="s">
        <v>269</v>
      </c>
      <c r="B106" s="129" t="s">
        <v>373</v>
      </c>
      <c r="C106" s="128">
        <v>1023950293</v>
      </c>
      <c r="D106" s="129" t="s">
        <v>272</v>
      </c>
      <c r="E106" s="116">
        <v>45369</v>
      </c>
      <c r="F106" s="137">
        <v>30</v>
      </c>
      <c r="G106" s="119">
        <v>1440800</v>
      </c>
      <c r="H106" s="119">
        <f>+(1390000/30)*F106</f>
        <v>1390000</v>
      </c>
      <c r="I106" s="119">
        <f>+(((1390000*92%)+162000)/30)*F106</f>
        <v>1440800</v>
      </c>
      <c r="J106" s="119">
        <f t="shared" si="11"/>
        <v>0</v>
      </c>
      <c r="K106" s="119" t="s">
        <v>552</v>
      </c>
      <c r="L106" s="125" t="s">
        <v>259</v>
      </c>
      <c r="M106" s="123"/>
      <c r="N106" s="123"/>
      <c r="O106" s="123"/>
      <c r="P106" s="123"/>
    </row>
    <row r="107" spans="1:16" hidden="1">
      <c r="A107" s="159" t="s">
        <v>1397</v>
      </c>
      <c r="B107" s="127" t="s">
        <v>423</v>
      </c>
      <c r="C107" s="130">
        <v>1090447550</v>
      </c>
      <c r="D107" s="131" t="s">
        <v>440</v>
      </c>
      <c r="E107" s="114">
        <v>45371</v>
      </c>
      <c r="F107" s="124">
        <v>30</v>
      </c>
      <c r="G107" s="132">
        <v>1358000</v>
      </c>
      <c r="H107" s="119">
        <f>+(1300000/30)*F107</f>
        <v>1300000</v>
      </c>
      <c r="I107" s="119">
        <f>+(((1300000*92%)+162000)/30)*F107</f>
        <v>1358000</v>
      </c>
      <c r="J107" s="119">
        <f t="shared" si="11"/>
        <v>0</v>
      </c>
      <c r="K107" s="132" t="s">
        <v>551</v>
      </c>
      <c r="L107" s="127" t="s">
        <v>408</v>
      </c>
      <c r="M107" s="131"/>
      <c r="N107" s="131"/>
      <c r="O107" s="131"/>
      <c r="P107" s="123"/>
    </row>
    <row r="108" spans="1:16" hidden="1">
      <c r="A108" s="120" t="s">
        <v>406</v>
      </c>
      <c r="B108" s="129" t="s">
        <v>17</v>
      </c>
      <c r="C108" s="130">
        <v>41932330</v>
      </c>
      <c r="D108" s="131" t="s">
        <v>475</v>
      </c>
      <c r="E108" s="114">
        <v>45371</v>
      </c>
      <c r="F108" s="138">
        <v>30</v>
      </c>
      <c r="G108" s="142">
        <v>1358000</v>
      </c>
      <c r="H108" s="119">
        <f>+(1300000/30)*F108</f>
        <v>1300000</v>
      </c>
      <c r="I108" s="119">
        <f>+(((1300000*92%)+162000)/30)*F108</f>
        <v>1358000</v>
      </c>
      <c r="J108" s="119">
        <f t="shared" si="11"/>
        <v>0</v>
      </c>
      <c r="K108" s="142" t="s">
        <v>553</v>
      </c>
      <c r="L108" s="77"/>
      <c r="M108" s="123"/>
      <c r="N108" s="123"/>
      <c r="O108" s="123"/>
      <c r="P108" s="123"/>
    </row>
    <row r="109" spans="1:16" hidden="1">
      <c r="A109" s="122" t="s">
        <v>386</v>
      </c>
      <c r="B109" s="122" t="s">
        <v>17</v>
      </c>
      <c r="C109" s="115">
        <v>53089308</v>
      </c>
      <c r="D109" s="123" t="s">
        <v>392</v>
      </c>
      <c r="E109" s="114">
        <v>45374</v>
      </c>
      <c r="F109" s="124">
        <v>30</v>
      </c>
      <c r="G109" s="119">
        <v>1358000</v>
      </c>
      <c r="H109" s="119">
        <f>+(1300000/30)*F109</f>
        <v>1300000</v>
      </c>
      <c r="I109" s="119">
        <f>+(((1300000*92%)+162000)/30)*F109</f>
        <v>1358000</v>
      </c>
      <c r="J109" s="119">
        <f t="shared" si="11"/>
        <v>0</v>
      </c>
      <c r="K109" s="119" t="s">
        <v>512</v>
      </c>
      <c r="L109" s="125" t="s">
        <v>341</v>
      </c>
      <c r="M109" s="123"/>
      <c r="N109" s="123"/>
      <c r="O109" s="123"/>
      <c r="P109" s="123"/>
    </row>
    <row r="110" spans="1:16" hidden="1">
      <c r="A110" s="122" t="s">
        <v>444</v>
      </c>
      <c r="B110" s="131" t="s">
        <v>302</v>
      </c>
      <c r="C110" s="130">
        <v>80760738</v>
      </c>
      <c r="D110" s="131" t="s">
        <v>540</v>
      </c>
      <c r="E110" s="117">
        <v>45392</v>
      </c>
      <c r="F110" s="152">
        <v>21</v>
      </c>
      <c r="G110" s="119">
        <v>1176644</v>
      </c>
      <c r="H110" s="119">
        <f>+(1401000/30)*F110</f>
        <v>980700</v>
      </c>
      <c r="I110" s="119">
        <f>+(((1401000*92%)+(162000+135000+95000))/30)*F110</f>
        <v>1176644</v>
      </c>
      <c r="J110" s="119">
        <f t="shared" si="11"/>
        <v>0</v>
      </c>
      <c r="K110" s="132" t="s">
        <v>552</v>
      </c>
      <c r="L110" s="127" t="s">
        <v>408</v>
      </c>
      <c r="M110" s="131"/>
      <c r="N110" s="131"/>
      <c r="O110" s="131"/>
      <c r="P110" s="123"/>
    </row>
    <row r="111" spans="1:16" hidden="1">
      <c r="A111" s="156" t="s">
        <v>286</v>
      </c>
      <c r="B111" s="127" t="s">
        <v>17</v>
      </c>
      <c r="C111" s="128">
        <v>52317516</v>
      </c>
      <c r="D111" s="129" t="s">
        <v>290</v>
      </c>
      <c r="E111" s="143">
        <v>45371</v>
      </c>
      <c r="F111" s="137">
        <v>30</v>
      </c>
      <c r="G111" s="119">
        <v>1358000</v>
      </c>
      <c r="H111" s="119">
        <f>+(1300000/30)*F111</f>
        <v>1300000</v>
      </c>
      <c r="I111" s="119">
        <f>+(((1300000*92%)+162000)/30)*F111</f>
        <v>1358000</v>
      </c>
      <c r="J111" s="119">
        <f t="shared" si="11"/>
        <v>0</v>
      </c>
      <c r="K111" s="119" t="s">
        <v>553</v>
      </c>
      <c r="L111" s="125" t="s">
        <v>259</v>
      </c>
      <c r="M111" s="123"/>
      <c r="N111" s="123"/>
      <c r="O111" s="123"/>
      <c r="P111" s="123"/>
    </row>
    <row r="112" spans="1:16" hidden="1">
      <c r="A112" s="120" t="s">
        <v>406</v>
      </c>
      <c r="B112" s="77" t="s">
        <v>17</v>
      </c>
      <c r="C112" s="115">
        <v>52295952</v>
      </c>
      <c r="D112" s="123" t="s">
        <v>476</v>
      </c>
      <c r="E112" s="117">
        <v>45374</v>
      </c>
      <c r="F112" s="138">
        <v>30</v>
      </c>
      <c r="G112" s="119">
        <v>1358000</v>
      </c>
      <c r="H112" s="119">
        <f>+(1300000/30)*F112</f>
        <v>1300000</v>
      </c>
      <c r="I112" s="119">
        <f>+(((1300000*92%)+162000)/30)*F112</f>
        <v>1358000</v>
      </c>
      <c r="J112" s="119">
        <f t="shared" si="11"/>
        <v>0</v>
      </c>
      <c r="K112" s="119" t="s">
        <v>556</v>
      </c>
      <c r="L112" s="77"/>
      <c r="M112" s="123"/>
      <c r="N112" s="123"/>
      <c r="O112" s="123"/>
      <c r="P112" s="123"/>
    </row>
    <row r="113" spans="1:16" hidden="1">
      <c r="A113" s="75" t="s">
        <v>413</v>
      </c>
      <c r="B113" s="95" t="s">
        <v>1395</v>
      </c>
      <c r="C113" s="115">
        <v>52229895</v>
      </c>
      <c r="D113" s="123" t="s">
        <v>541</v>
      </c>
      <c r="E113" s="117">
        <v>45385</v>
      </c>
      <c r="F113" s="149">
        <v>28</v>
      </c>
      <c r="G113" s="119">
        <v>1267466.6666666665</v>
      </c>
      <c r="H113" s="119">
        <f>+(1300000/30)*F113</f>
        <v>1213333.3333333335</v>
      </c>
      <c r="I113" s="119">
        <f>+(((1300000*92%)+162000)/30)*F113</f>
        <v>1267466.6666666665</v>
      </c>
      <c r="J113" s="119">
        <f t="shared" si="11"/>
        <v>0</v>
      </c>
      <c r="K113" s="119" t="s">
        <v>551</v>
      </c>
      <c r="L113" s="77"/>
      <c r="M113" s="123"/>
      <c r="N113" s="123"/>
      <c r="O113" s="123"/>
      <c r="P113" s="123"/>
    </row>
    <row r="114" spans="1:16" hidden="1">
      <c r="A114" s="156" t="s">
        <v>262</v>
      </c>
      <c r="B114" s="129" t="s">
        <v>373</v>
      </c>
      <c r="C114" s="128">
        <v>80369946</v>
      </c>
      <c r="D114" s="129" t="s">
        <v>266</v>
      </c>
      <c r="E114" s="116">
        <v>45369</v>
      </c>
      <c r="F114" s="137">
        <v>30</v>
      </c>
      <c r="G114" s="119">
        <v>1440800</v>
      </c>
      <c r="H114" s="119">
        <f>+(1390000/30)*F114</f>
        <v>1390000</v>
      </c>
      <c r="I114" s="119">
        <f>+(((1390000*92%)+162000)/30)*F114</f>
        <v>1440800</v>
      </c>
      <c r="J114" s="119">
        <f t="shared" si="11"/>
        <v>0</v>
      </c>
      <c r="K114" s="119" t="s">
        <v>552</v>
      </c>
      <c r="L114" s="125" t="s">
        <v>259</v>
      </c>
      <c r="M114" s="123"/>
      <c r="N114" s="123"/>
      <c r="O114" s="123"/>
      <c r="P114" s="123"/>
    </row>
    <row r="115" spans="1:16" hidden="1">
      <c r="A115" s="75" t="s">
        <v>339</v>
      </c>
      <c r="B115" s="112" t="s">
        <v>373</v>
      </c>
      <c r="C115" s="128">
        <v>1043009750</v>
      </c>
      <c r="D115" s="129" t="s">
        <v>542</v>
      </c>
      <c r="E115" s="116">
        <v>45395</v>
      </c>
      <c r="F115" s="149">
        <v>18</v>
      </c>
      <c r="G115" s="119">
        <v>864480</v>
      </c>
      <c r="H115" s="119">
        <f>+(1390000/30)*F115</f>
        <v>834000</v>
      </c>
      <c r="I115" s="119">
        <f>+(((1390000*92%)+162000)/30)*F115</f>
        <v>864480</v>
      </c>
      <c r="J115" s="119">
        <f t="shared" si="11"/>
        <v>0</v>
      </c>
      <c r="K115" s="119" t="s">
        <v>551</v>
      </c>
      <c r="L115" s="125"/>
      <c r="M115" s="123"/>
      <c r="N115" s="123"/>
      <c r="O115" s="123"/>
      <c r="P115" s="123"/>
    </row>
    <row r="116" spans="1:16" hidden="1">
      <c r="A116" s="156" t="s">
        <v>286</v>
      </c>
      <c r="B116" s="129" t="s">
        <v>17</v>
      </c>
      <c r="C116" s="128">
        <v>1073710462</v>
      </c>
      <c r="D116" s="129" t="s">
        <v>291</v>
      </c>
      <c r="E116" s="116">
        <v>45369</v>
      </c>
      <c r="F116" s="137">
        <v>30</v>
      </c>
      <c r="G116" s="119">
        <v>1358000</v>
      </c>
      <c r="H116" s="119">
        <f>+(1300000/30)*F116</f>
        <v>1300000</v>
      </c>
      <c r="I116" s="119">
        <f>+(((1300000*92%)+162000)/30)*F116</f>
        <v>1358000</v>
      </c>
      <c r="J116" s="119">
        <f t="shared" si="11"/>
        <v>0</v>
      </c>
      <c r="K116" s="119" t="s">
        <v>552</v>
      </c>
      <c r="L116" s="125" t="s">
        <v>259</v>
      </c>
      <c r="M116" s="123"/>
      <c r="N116" s="123"/>
      <c r="O116" s="123"/>
      <c r="P116" s="123"/>
    </row>
    <row r="117" spans="1:16" hidden="1">
      <c r="A117" s="122" t="s">
        <v>339</v>
      </c>
      <c r="B117" s="122" t="s">
        <v>373</v>
      </c>
      <c r="C117" s="115">
        <v>1024477933</v>
      </c>
      <c r="D117" s="123" t="s">
        <v>379</v>
      </c>
      <c r="E117" s="114">
        <v>45369</v>
      </c>
      <c r="F117" s="124">
        <v>30</v>
      </c>
      <c r="G117" s="119">
        <v>1440800</v>
      </c>
      <c r="H117" s="119">
        <f>+(1390000/30)*F117</f>
        <v>1390000</v>
      </c>
      <c r="I117" s="119">
        <f>+(((1390000*92%)+162000)/30)*F117</f>
        <v>1440800</v>
      </c>
      <c r="J117" s="119">
        <f t="shared" si="11"/>
        <v>0</v>
      </c>
      <c r="K117" s="119" t="s">
        <v>552</v>
      </c>
      <c r="L117" s="125" t="s">
        <v>341</v>
      </c>
      <c r="M117" s="123"/>
      <c r="N117" s="123"/>
      <c r="O117" s="123"/>
      <c r="P117" s="123"/>
    </row>
    <row r="118" spans="1:16" hidden="1">
      <c r="A118" s="76" t="s">
        <v>320</v>
      </c>
      <c r="B118" s="112" t="s">
        <v>373</v>
      </c>
      <c r="C118" s="115">
        <v>79657624</v>
      </c>
      <c r="D118" s="123" t="s">
        <v>543</v>
      </c>
      <c r="E118" s="116">
        <v>45395</v>
      </c>
      <c r="F118" s="151">
        <v>3</v>
      </c>
      <c r="G118" s="119"/>
      <c r="H118" s="119">
        <f>+(1390000/30)*F118</f>
        <v>139000</v>
      </c>
      <c r="I118" s="119">
        <f>+(((1390000*92%)+162000)/30)*F118</f>
        <v>144080</v>
      </c>
      <c r="J118" s="111">
        <f t="shared" si="11"/>
        <v>-144080</v>
      </c>
      <c r="K118" s="119"/>
      <c r="L118" s="125"/>
      <c r="M118" s="123"/>
      <c r="N118" s="123"/>
      <c r="O118" s="123"/>
      <c r="P118" s="123"/>
    </row>
    <row r="119" spans="1:16" hidden="1">
      <c r="A119" s="122" t="s">
        <v>420</v>
      </c>
      <c r="B119" s="127" t="s">
        <v>17</v>
      </c>
      <c r="C119" s="130">
        <v>30225706</v>
      </c>
      <c r="D119" s="131" t="s">
        <v>421</v>
      </c>
      <c r="E119" s="114">
        <v>45369</v>
      </c>
      <c r="F119" s="124">
        <v>30</v>
      </c>
      <c r="G119" s="132">
        <v>1358000</v>
      </c>
      <c r="H119" s="119">
        <f>+(1300000/30)*F119</f>
        <v>1300000</v>
      </c>
      <c r="I119" s="119">
        <f>+(((1300000*92%)+162000)/30)*F119</f>
        <v>1358000</v>
      </c>
      <c r="J119" s="119">
        <f t="shared" si="11"/>
        <v>0</v>
      </c>
      <c r="K119" s="132" t="s">
        <v>555</v>
      </c>
      <c r="L119" s="127" t="s">
        <v>408</v>
      </c>
      <c r="M119" s="131"/>
      <c r="N119" s="131"/>
      <c r="O119" s="131"/>
      <c r="P119" s="123"/>
    </row>
    <row r="120" spans="1:16" hidden="1">
      <c r="A120" s="122" t="s">
        <v>386</v>
      </c>
      <c r="B120" s="122" t="s">
        <v>17</v>
      </c>
      <c r="C120" s="115">
        <v>1026579256</v>
      </c>
      <c r="D120" s="123" t="s">
        <v>393</v>
      </c>
      <c r="E120" s="114">
        <v>45369</v>
      </c>
      <c r="F120" s="124">
        <v>30</v>
      </c>
      <c r="G120" s="119">
        <v>1358000</v>
      </c>
      <c r="H120" s="119">
        <f>+(1300000/30)*F120</f>
        <v>1300000</v>
      </c>
      <c r="I120" s="119">
        <f>+(((1300000*92%)+162000)/30)*F120</f>
        <v>1358000</v>
      </c>
      <c r="J120" s="119">
        <f t="shared" si="11"/>
        <v>0</v>
      </c>
      <c r="K120" s="119" t="s">
        <v>551</v>
      </c>
      <c r="L120" s="125" t="s">
        <v>341</v>
      </c>
      <c r="M120" s="123"/>
      <c r="N120" s="123"/>
      <c r="O120" s="123"/>
      <c r="P120" s="123"/>
    </row>
    <row r="121" spans="1:16" hidden="1">
      <c r="A121" s="159" t="s">
        <v>413</v>
      </c>
      <c r="B121" s="127" t="s">
        <v>17</v>
      </c>
      <c r="C121" s="130">
        <v>1084743310</v>
      </c>
      <c r="D121" s="131" t="s">
        <v>414</v>
      </c>
      <c r="E121" s="114">
        <v>45369</v>
      </c>
      <c r="F121" s="124">
        <v>30</v>
      </c>
      <c r="G121" s="132">
        <v>1358000</v>
      </c>
      <c r="H121" s="119">
        <f>+(1300000/30)*F121</f>
        <v>1300000</v>
      </c>
      <c r="I121" s="119">
        <f>+(((1300000*92%)+162000)/30)*F121</f>
        <v>1358000</v>
      </c>
      <c r="J121" s="119">
        <f t="shared" si="11"/>
        <v>0</v>
      </c>
      <c r="K121" s="132" t="s">
        <v>552</v>
      </c>
      <c r="L121" s="127" t="s">
        <v>408</v>
      </c>
      <c r="M121" s="131"/>
      <c r="N121" s="131"/>
      <c r="O121" s="131"/>
      <c r="P121" s="123"/>
    </row>
    <row r="122" spans="1:16" hidden="1">
      <c r="A122" s="122" t="s">
        <v>339</v>
      </c>
      <c r="B122" s="122" t="s">
        <v>17</v>
      </c>
      <c r="C122" s="115">
        <v>1012331832</v>
      </c>
      <c r="D122" s="123" t="s">
        <v>360</v>
      </c>
      <c r="E122" s="114">
        <v>45369</v>
      </c>
      <c r="F122" s="124">
        <v>30</v>
      </c>
      <c r="G122" s="119">
        <v>1358000</v>
      </c>
      <c r="H122" s="119">
        <f>+(1300000/30)*F122</f>
        <v>1300000</v>
      </c>
      <c r="I122" s="119">
        <f>+(((1300000*92%)+162000)/30)*F122</f>
        <v>1358000</v>
      </c>
      <c r="J122" s="119">
        <f t="shared" si="11"/>
        <v>0</v>
      </c>
      <c r="K122" s="119" t="s">
        <v>552</v>
      </c>
      <c r="L122" s="125" t="s">
        <v>341</v>
      </c>
      <c r="M122" s="123"/>
      <c r="N122" s="123"/>
      <c r="O122" s="123"/>
      <c r="P122" s="123"/>
    </row>
    <row r="123" spans="1:16" hidden="1">
      <c r="A123" s="122" t="s">
        <v>386</v>
      </c>
      <c r="B123" s="122" t="s">
        <v>17</v>
      </c>
      <c r="C123" s="115">
        <v>1023896564</v>
      </c>
      <c r="D123" s="139" t="s">
        <v>394</v>
      </c>
      <c r="E123" s="114">
        <v>45385</v>
      </c>
      <c r="F123" s="151">
        <v>28</v>
      </c>
      <c r="G123" s="119">
        <v>1267466.6666666665</v>
      </c>
      <c r="H123" s="119">
        <f>+(1300000/30)*F123</f>
        <v>1213333.3333333335</v>
      </c>
      <c r="I123" s="119">
        <f>+(((1300000*92%)+162000)/30)*F123</f>
        <v>1267466.6666666665</v>
      </c>
      <c r="J123" s="119">
        <f t="shared" si="11"/>
        <v>0</v>
      </c>
      <c r="K123" s="119" t="s">
        <v>551</v>
      </c>
      <c r="L123" s="125" t="s">
        <v>341</v>
      </c>
      <c r="M123" s="123"/>
      <c r="N123" s="123"/>
      <c r="O123" s="123"/>
      <c r="P123" s="123"/>
    </row>
    <row r="124" spans="1:16" hidden="1">
      <c r="A124" s="156" t="s">
        <v>286</v>
      </c>
      <c r="B124" s="129" t="s">
        <v>19</v>
      </c>
      <c r="C124" s="140">
        <v>55155416</v>
      </c>
      <c r="D124" s="141" t="s">
        <v>292</v>
      </c>
      <c r="E124" s="116">
        <v>45369</v>
      </c>
      <c r="F124" s="151">
        <f>1+29</f>
        <v>30</v>
      </c>
      <c r="G124" s="119">
        <v>1362536</v>
      </c>
      <c r="H124" s="119">
        <f>+(1356000/30)*F124</f>
        <v>1356000</v>
      </c>
      <c r="I124" s="119">
        <f>+(((1356000*92%)+162000)/30)*F124</f>
        <v>1409520</v>
      </c>
      <c r="J124" s="111">
        <f t="shared" si="11"/>
        <v>-46984</v>
      </c>
      <c r="K124" s="119" t="s">
        <v>552</v>
      </c>
      <c r="L124" s="125" t="s">
        <v>259</v>
      </c>
      <c r="M124" s="123"/>
      <c r="N124" s="123"/>
      <c r="O124" s="123"/>
      <c r="P124" s="123"/>
    </row>
    <row r="125" spans="1:16" hidden="1">
      <c r="A125" s="159" t="s">
        <v>413</v>
      </c>
      <c r="B125" s="127" t="s">
        <v>17</v>
      </c>
      <c r="C125" s="130">
        <v>52422971</v>
      </c>
      <c r="D125" s="131" t="s">
        <v>418</v>
      </c>
      <c r="E125" s="114">
        <v>45369</v>
      </c>
      <c r="F125" s="124">
        <v>30</v>
      </c>
      <c r="G125" s="132">
        <v>1358000</v>
      </c>
      <c r="H125" s="119">
        <f>+(1300000/30)*F125</f>
        <v>1300000</v>
      </c>
      <c r="I125" s="119">
        <f>+(((1300000*92%)+162000)/30)*F125</f>
        <v>1358000</v>
      </c>
      <c r="J125" s="119">
        <f t="shared" si="11"/>
        <v>0</v>
      </c>
      <c r="K125" s="132" t="s">
        <v>552</v>
      </c>
      <c r="L125" s="127" t="s">
        <v>408</v>
      </c>
      <c r="M125" s="131"/>
      <c r="N125" s="131"/>
      <c r="O125" s="131"/>
      <c r="P125" s="123"/>
    </row>
    <row r="126" spans="1:16" hidden="1">
      <c r="A126" s="156" t="s">
        <v>274</v>
      </c>
      <c r="B126" s="129" t="s">
        <v>423</v>
      </c>
      <c r="C126" s="128">
        <v>1021395108</v>
      </c>
      <c r="D126" s="129" t="s">
        <v>278</v>
      </c>
      <c r="E126" s="116">
        <v>45369</v>
      </c>
      <c r="F126" s="137">
        <v>30</v>
      </c>
      <c r="G126" s="119">
        <v>1358000</v>
      </c>
      <c r="H126" s="119">
        <f>+(1300000/30)*F126</f>
        <v>1300000</v>
      </c>
      <c r="I126" s="119">
        <f>+(((1300000*92%)+162000)/30)*F126</f>
        <v>1358000</v>
      </c>
      <c r="J126" s="119">
        <f t="shared" si="11"/>
        <v>0</v>
      </c>
      <c r="K126" s="119" t="s">
        <v>552</v>
      </c>
      <c r="L126" s="125" t="s">
        <v>259</v>
      </c>
      <c r="M126" s="123"/>
      <c r="N126" s="123"/>
      <c r="O126" s="123"/>
      <c r="P126" s="123"/>
    </row>
    <row r="127" spans="1:16" hidden="1">
      <c r="A127" s="156" t="s">
        <v>262</v>
      </c>
      <c r="B127" s="129" t="s">
        <v>19</v>
      </c>
      <c r="C127" s="140">
        <v>1133674125</v>
      </c>
      <c r="D127" s="141" t="s">
        <v>267</v>
      </c>
      <c r="E127" s="116">
        <v>45369</v>
      </c>
      <c r="F127" s="128">
        <v>30</v>
      </c>
      <c r="G127" s="119">
        <v>1409520</v>
      </c>
      <c r="H127" s="119">
        <f>+(1356000/30)*F127</f>
        <v>1356000</v>
      </c>
      <c r="I127" s="119">
        <f>+(((1356000*92%)+162000)/30)*F127</f>
        <v>1409520</v>
      </c>
      <c r="J127" s="119">
        <f t="shared" si="11"/>
        <v>0</v>
      </c>
      <c r="K127" s="119" t="s">
        <v>551</v>
      </c>
      <c r="L127" s="125" t="s">
        <v>259</v>
      </c>
      <c r="M127" s="123"/>
      <c r="N127" s="123"/>
      <c r="O127" s="123"/>
      <c r="P127" s="123"/>
    </row>
    <row r="128" spans="1:16" hidden="1">
      <c r="A128" s="156" t="s">
        <v>328</v>
      </c>
      <c r="B128" s="129" t="s">
        <v>17</v>
      </c>
      <c r="C128" s="128">
        <v>1020807133</v>
      </c>
      <c r="D128" s="129" t="s">
        <v>477</v>
      </c>
      <c r="E128" s="133">
        <v>45371</v>
      </c>
      <c r="F128" s="128">
        <v>30</v>
      </c>
      <c r="G128" s="135">
        <v>1358000</v>
      </c>
      <c r="H128" s="119">
        <f>+(1300000/30)*F128</f>
        <v>1300000</v>
      </c>
      <c r="I128" s="119">
        <f>+(((1300000*92%)+162000)/30)*F128</f>
        <v>1358000</v>
      </c>
      <c r="J128" s="119">
        <f t="shared" si="11"/>
        <v>0</v>
      </c>
      <c r="K128" s="135" t="s">
        <v>551</v>
      </c>
      <c r="L128" s="136" t="s">
        <v>306</v>
      </c>
      <c r="M128" s="129"/>
      <c r="N128" s="129"/>
      <c r="O128" s="129"/>
      <c r="P128" s="123"/>
    </row>
    <row r="129" spans="1:16" hidden="1">
      <c r="A129" s="122" t="s">
        <v>339</v>
      </c>
      <c r="B129" s="122" t="s">
        <v>17</v>
      </c>
      <c r="C129" s="115">
        <v>1052957561</v>
      </c>
      <c r="D129" s="144" t="s">
        <v>361</v>
      </c>
      <c r="E129" s="114">
        <v>45369</v>
      </c>
      <c r="F129" s="151">
        <f>2+28</f>
        <v>30</v>
      </c>
      <c r="G129" s="119">
        <v>1267467</v>
      </c>
      <c r="H129" s="119">
        <f>+(1300000/30)*F129</f>
        <v>1300000</v>
      </c>
      <c r="I129" s="119">
        <f>+(((1300000*92%)+162000)/30)*F129</f>
        <v>1358000</v>
      </c>
      <c r="J129" s="111">
        <f t="shared" si="11"/>
        <v>-90533</v>
      </c>
      <c r="K129" s="119" t="s">
        <v>552</v>
      </c>
      <c r="L129" s="125" t="s">
        <v>341</v>
      </c>
      <c r="M129" s="123"/>
      <c r="N129" s="123"/>
      <c r="O129" s="123"/>
      <c r="P129" s="123"/>
    </row>
    <row r="130" spans="1:16" hidden="1">
      <c r="A130" s="159" t="s">
        <v>413</v>
      </c>
      <c r="B130" s="127" t="s">
        <v>17</v>
      </c>
      <c r="C130" s="130">
        <v>21119479</v>
      </c>
      <c r="D130" s="131" t="s">
        <v>416</v>
      </c>
      <c r="E130" s="114">
        <v>45369</v>
      </c>
      <c r="F130" s="124">
        <v>30</v>
      </c>
      <c r="G130" s="132">
        <v>1358000</v>
      </c>
      <c r="H130" s="119">
        <f>+(1300000/30)*F130</f>
        <v>1300000</v>
      </c>
      <c r="I130" s="119">
        <f>+(((1300000*92%)+162000)/30)*F130</f>
        <v>1358000</v>
      </c>
      <c r="J130" s="119">
        <f t="shared" ref="J130:J161" si="12">+G130-I130</f>
        <v>0</v>
      </c>
      <c r="K130" s="132" t="s">
        <v>552</v>
      </c>
      <c r="L130" s="127" t="s">
        <v>408</v>
      </c>
      <c r="M130" s="131"/>
      <c r="N130" s="131"/>
      <c r="O130" s="131"/>
      <c r="P130" s="123"/>
    </row>
    <row r="131" spans="1:16" hidden="1">
      <c r="A131" s="159" t="s">
        <v>420</v>
      </c>
      <c r="B131" s="131" t="s">
        <v>427</v>
      </c>
      <c r="C131" s="130">
        <v>79597465</v>
      </c>
      <c r="D131" s="131" t="s">
        <v>429</v>
      </c>
      <c r="E131" s="114">
        <v>45369</v>
      </c>
      <c r="F131" s="124">
        <v>30</v>
      </c>
      <c r="G131" s="132">
        <v>1440800</v>
      </c>
      <c r="H131" s="119">
        <f>+(1390000/30)*F131</f>
        <v>1390000</v>
      </c>
      <c r="I131" s="119">
        <f>+(((1390000*92%)+162000)/30)*F131</f>
        <v>1440800</v>
      </c>
      <c r="J131" s="119">
        <f t="shared" si="12"/>
        <v>0</v>
      </c>
      <c r="K131" s="132" t="s">
        <v>552</v>
      </c>
      <c r="L131" s="127" t="s">
        <v>408</v>
      </c>
      <c r="M131" s="131"/>
      <c r="N131" s="131"/>
      <c r="O131" s="131"/>
      <c r="P131" s="123"/>
    </row>
    <row r="132" spans="1:16" hidden="1">
      <c r="A132" s="76" t="s">
        <v>339</v>
      </c>
      <c r="B132" s="112" t="s">
        <v>373</v>
      </c>
      <c r="C132" s="130">
        <v>1000831469</v>
      </c>
      <c r="D132" s="131" t="s">
        <v>544</v>
      </c>
      <c r="E132" s="116">
        <v>45395</v>
      </c>
      <c r="F132" s="149">
        <v>18</v>
      </c>
      <c r="G132" s="132">
        <v>864480</v>
      </c>
      <c r="H132" s="119">
        <f>+(1390000/30)*F132</f>
        <v>834000</v>
      </c>
      <c r="I132" s="119">
        <f>+(((1390000*92%)+162000)/30)*F132</f>
        <v>864480</v>
      </c>
      <c r="J132" s="119">
        <f t="shared" si="12"/>
        <v>0</v>
      </c>
      <c r="K132" s="132" t="s">
        <v>551</v>
      </c>
      <c r="L132" s="127"/>
      <c r="M132" s="131"/>
      <c r="N132" s="131"/>
      <c r="O132" s="131"/>
      <c r="P132" s="123"/>
    </row>
    <row r="133" spans="1:16" hidden="1">
      <c r="A133" s="122" t="s">
        <v>386</v>
      </c>
      <c r="B133" s="122" t="s">
        <v>17</v>
      </c>
      <c r="C133" s="115">
        <v>1022940252</v>
      </c>
      <c r="D133" s="123" t="s">
        <v>524</v>
      </c>
      <c r="E133" s="114">
        <v>45369</v>
      </c>
      <c r="F133" s="124">
        <v>30</v>
      </c>
      <c r="G133" s="119">
        <v>1358000</v>
      </c>
      <c r="H133" s="119">
        <f>+(1300000/30)*F133</f>
        <v>1300000</v>
      </c>
      <c r="I133" s="119">
        <f>+(((1300000*92%)+162000)/30)*F133</f>
        <v>1358000</v>
      </c>
      <c r="J133" s="119">
        <f t="shared" si="12"/>
        <v>0</v>
      </c>
      <c r="K133" s="119" t="s">
        <v>552</v>
      </c>
      <c r="L133" s="125" t="s">
        <v>341</v>
      </c>
      <c r="M133" s="123"/>
      <c r="N133" s="123"/>
      <c r="O133" s="123"/>
      <c r="P133" s="123"/>
    </row>
    <row r="134" spans="1:16" hidden="1">
      <c r="A134" s="159" t="s">
        <v>420</v>
      </c>
      <c r="B134" s="131" t="s">
        <v>427</v>
      </c>
      <c r="C134" s="130">
        <v>1022985784</v>
      </c>
      <c r="D134" s="131" t="s">
        <v>428</v>
      </c>
      <c r="E134" s="114">
        <v>45369</v>
      </c>
      <c r="F134" s="124">
        <v>30</v>
      </c>
      <c r="G134" s="132">
        <v>1440800</v>
      </c>
      <c r="H134" s="119">
        <f>+(1390000/30)*F134</f>
        <v>1390000</v>
      </c>
      <c r="I134" s="119">
        <f>+(((1390000*92%)+162000)/30)*F134</f>
        <v>1440800</v>
      </c>
      <c r="J134" s="119">
        <f t="shared" si="12"/>
        <v>0</v>
      </c>
      <c r="K134" s="132" t="s">
        <v>552</v>
      </c>
      <c r="L134" s="127" t="s">
        <v>408</v>
      </c>
      <c r="M134" s="131"/>
      <c r="N134" s="131"/>
      <c r="O134" s="131"/>
      <c r="P134" s="123"/>
    </row>
    <row r="135" spans="1:16" hidden="1">
      <c r="A135" s="156" t="s">
        <v>286</v>
      </c>
      <c r="B135" s="129" t="s">
        <v>17</v>
      </c>
      <c r="C135" s="128">
        <v>1073698399</v>
      </c>
      <c r="D135" s="129" t="s">
        <v>296</v>
      </c>
      <c r="E135" s="117">
        <v>45374</v>
      </c>
      <c r="F135" s="152">
        <f>2+3+25</f>
        <v>30</v>
      </c>
      <c r="G135" s="119">
        <v>1251267</v>
      </c>
      <c r="H135" s="119">
        <f>+(1300000/30)*F135</f>
        <v>1300000</v>
      </c>
      <c r="I135" s="119">
        <f>+(((1300000*92%)+162000)/30)*F135</f>
        <v>1358000</v>
      </c>
      <c r="J135" s="111">
        <f t="shared" si="12"/>
        <v>-106733</v>
      </c>
      <c r="K135" s="119" t="s">
        <v>551</v>
      </c>
      <c r="L135" s="125" t="s">
        <v>259</v>
      </c>
      <c r="M135" s="123"/>
      <c r="N135" s="123"/>
      <c r="O135" s="123"/>
      <c r="P135" s="123"/>
    </row>
    <row r="136" spans="1:16" hidden="1">
      <c r="A136" s="75"/>
      <c r="B136" s="112"/>
      <c r="C136" s="128">
        <v>1013583198</v>
      </c>
      <c r="D136" s="129" t="s">
        <v>546</v>
      </c>
      <c r="E136" s="117">
        <v>45385</v>
      </c>
      <c r="F136" s="149">
        <v>28</v>
      </c>
      <c r="G136" s="119">
        <v>1267467</v>
      </c>
      <c r="H136" s="119">
        <f>+(1300000/30)*F136</f>
        <v>1213333.3333333335</v>
      </c>
      <c r="I136" s="119">
        <f>+(((1300000*92%)+162000)/30)*F136</f>
        <v>1267466.6666666665</v>
      </c>
      <c r="J136" s="119">
        <f t="shared" si="12"/>
        <v>0.33333333348855376</v>
      </c>
      <c r="K136" s="119" t="s">
        <v>512</v>
      </c>
      <c r="L136" s="125"/>
      <c r="M136" s="123"/>
      <c r="N136" s="123"/>
      <c r="O136" s="123"/>
      <c r="P136" s="123"/>
    </row>
    <row r="137" spans="1:16" hidden="1">
      <c r="A137" s="75"/>
      <c r="B137" s="112"/>
      <c r="C137" s="128">
        <v>1090390268</v>
      </c>
      <c r="D137" s="129" t="s">
        <v>545</v>
      </c>
      <c r="E137" s="116">
        <v>45395</v>
      </c>
      <c r="F137" s="149">
        <v>18</v>
      </c>
      <c r="G137" s="119">
        <v>864480</v>
      </c>
      <c r="H137" s="119">
        <f>+(1390000/30)*F137</f>
        <v>834000</v>
      </c>
      <c r="I137" s="119">
        <f>+(((1390000*92%)+162000)/30)*F137</f>
        <v>864480</v>
      </c>
      <c r="J137" s="119">
        <f t="shared" si="12"/>
        <v>0</v>
      </c>
      <c r="K137" s="119" t="s">
        <v>556</v>
      </c>
      <c r="L137" s="125"/>
      <c r="M137" s="123"/>
      <c r="N137" s="123"/>
      <c r="O137" s="123"/>
      <c r="P137" s="123"/>
    </row>
    <row r="138" spans="1:16" hidden="1">
      <c r="A138" s="155" t="s">
        <v>257</v>
      </c>
      <c r="B138" s="127" t="s">
        <v>17</v>
      </c>
      <c r="C138" s="128">
        <v>26228331</v>
      </c>
      <c r="D138" s="129" t="s">
        <v>258</v>
      </c>
      <c r="E138" s="116">
        <v>45369</v>
      </c>
      <c r="F138" s="137">
        <v>30</v>
      </c>
      <c r="G138" s="119">
        <v>1358000</v>
      </c>
      <c r="H138" s="119">
        <f>+(1300000/30)*F138</f>
        <v>1300000</v>
      </c>
      <c r="I138" s="119">
        <f>+(((1300000*92%)+162000)/30)*F138</f>
        <v>1358000</v>
      </c>
      <c r="J138" s="119">
        <f t="shared" si="12"/>
        <v>0</v>
      </c>
      <c r="K138" s="119" t="s">
        <v>551</v>
      </c>
      <c r="L138" s="125" t="s">
        <v>259</v>
      </c>
      <c r="M138" s="123"/>
      <c r="N138" s="123"/>
      <c r="O138" s="123"/>
      <c r="P138" s="123"/>
    </row>
    <row r="139" spans="1:16" hidden="1">
      <c r="A139" s="126" t="s">
        <v>320</v>
      </c>
      <c r="B139" s="129" t="s">
        <v>17</v>
      </c>
      <c r="C139" s="128">
        <v>52800585</v>
      </c>
      <c r="D139" s="129" t="s">
        <v>322</v>
      </c>
      <c r="E139" s="133">
        <v>45369</v>
      </c>
      <c r="F139" s="134">
        <v>30</v>
      </c>
      <c r="G139" s="135">
        <v>1358000</v>
      </c>
      <c r="H139" s="119">
        <f>+(1300000/30)*F139</f>
        <v>1300000</v>
      </c>
      <c r="I139" s="119">
        <f>+(((1300000*92%)+162000)/30)*F139</f>
        <v>1358000</v>
      </c>
      <c r="J139" s="119">
        <f t="shared" si="12"/>
        <v>0</v>
      </c>
      <c r="K139" s="135" t="s">
        <v>552</v>
      </c>
      <c r="L139" s="136" t="s">
        <v>306</v>
      </c>
      <c r="M139" s="129"/>
      <c r="N139" s="129"/>
      <c r="O139" s="129"/>
      <c r="P139" s="123"/>
    </row>
    <row r="140" spans="1:16" hidden="1">
      <c r="A140" s="159" t="s">
        <v>432</v>
      </c>
      <c r="B140" s="127" t="s">
        <v>17</v>
      </c>
      <c r="C140" s="130">
        <v>52038209</v>
      </c>
      <c r="D140" s="131" t="s">
        <v>433</v>
      </c>
      <c r="E140" s="114">
        <v>45369</v>
      </c>
      <c r="F140" s="124">
        <v>30</v>
      </c>
      <c r="G140" s="132">
        <v>1358000</v>
      </c>
      <c r="H140" s="119">
        <f>+(1300000/30)*F140</f>
        <v>1300000</v>
      </c>
      <c r="I140" s="119">
        <f>+(((1300000*92%)+162000)/30)*F140</f>
        <v>1358000</v>
      </c>
      <c r="J140" s="119">
        <f t="shared" si="12"/>
        <v>0</v>
      </c>
      <c r="K140" s="132" t="s">
        <v>552</v>
      </c>
      <c r="L140" s="127" t="s">
        <v>408</v>
      </c>
      <c r="M140" s="131"/>
      <c r="N140" s="131"/>
      <c r="O140" s="131"/>
      <c r="P140" s="123"/>
    </row>
    <row r="141" spans="1:16" hidden="1">
      <c r="A141" s="122" t="s">
        <v>339</v>
      </c>
      <c r="B141" s="122" t="s">
        <v>17</v>
      </c>
      <c r="C141" s="115">
        <v>37342544</v>
      </c>
      <c r="D141" s="123" t="s">
        <v>362</v>
      </c>
      <c r="E141" s="114">
        <v>45369</v>
      </c>
      <c r="F141" s="124">
        <v>30</v>
      </c>
      <c r="G141" s="119">
        <v>1358000</v>
      </c>
      <c r="H141" s="119">
        <f>+(1300000/30)*F141</f>
        <v>1300000</v>
      </c>
      <c r="I141" s="119">
        <f>+(((1300000*92%)+162000)/30)*F141</f>
        <v>1358000</v>
      </c>
      <c r="J141" s="119">
        <f t="shared" si="12"/>
        <v>0</v>
      </c>
      <c r="K141" s="119" t="s">
        <v>552</v>
      </c>
      <c r="L141" s="125" t="s">
        <v>341</v>
      </c>
      <c r="M141" s="123"/>
      <c r="N141" s="123"/>
      <c r="O141" s="123"/>
      <c r="P141" s="123"/>
    </row>
    <row r="142" spans="1:16" hidden="1">
      <c r="A142" s="122" t="s">
        <v>339</v>
      </c>
      <c r="B142" s="122" t="s">
        <v>373</v>
      </c>
      <c r="C142" s="115">
        <v>80391453</v>
      </c>
      <c r="D142" s="123" t="s">
        <v>525</v>
      </c>
      <c r="E142" s="114">
        <v>45369</v>
      </c>
      <c r="F142" s="124">
        <v>30</v>
      </c>
      <c r="G142" s="119">
        <v>1440800</v>
      </c>
      <c r="H142" s="119">
        <f>+(1390000/30)*F142</f>
        <v>1390000</v>
      </c>
      <c r="I142" s="119">
        <f>+(((1390000*92%)+162000)/30)*F142</f>
        <v>1440800</v>
      </c>
      <c r="J142" s="119">
        <f t="shared" si="12"/>
        <v>0</v>
      </c>
      <c r="K142" s="119" t="s">
        <v>555</v>
      </c>
      <c r="L142" s="125" t="s">
        <v>341</v>
      </c>
      <c r="M142" s="123"/>
      <c r="N142" s="123"/>
      <c r="O142" s="123"/>
      <c r="P142" s="123"/>
    </row>
    <row r="143" spans="1:16" hidden="1">
      <c r="A143" s="126" t="s">
        <v>320</v>
      </c>
      <c r="B143" s="129" t="s">
        <v>373</v>
      </c>
      <c r="C143" s="128">
        <v>12753966</v>
      </c>
      <c r="D143" s="129" t="s">
        <v>324</v>
      </c>
      <c r="E143" s="133">
        <v>45369</v>
      </c>
      <c r="F143" s="134">
        <v>30</v>
      </c>
      <c r="G143" s="135">
        <v>1440800</v>
      </c>
      <c r="H143" s="119">
        <f>+(1390000/30)*F143</f>
        <v>1390000</v>
      </c>
      <c r="I143" s="119">
        <f>+(((1390000*92%)+162000)/30)*F143</f>
        <v>1440800</v>
      </c>
      <c r="J143" s="119">
        <f t="shared" si="12"/>
        <v>0</v>
      </c>
      <c r="K143" s="135" t="s">
        <v>551</v>
      </c>
      <c r="L143" s="136" t="s">
        <v>306</v>
      </c>
      <c r="M143" s="129"/>
      <c r="N143" s="129"/>
      <c r="O143" s="129"/>
      <c r="P143" s="123"/>
    </row>
    <row r="144" spans="1:16" hidden="1">
      <c r="A144" s="126" t="s">
        <v>320</v>
      </c>
      <c r="B144" s="129" t="s">
        <v>17</v>
      </c>
      <c r="C144" s="128">
        <v>1010219099</v>
      </c>
      <c r="D144" s="129" t="s">
        <v>325</v>
      </c>
      <c r="E144" s="133">
        <v>45369</v>
      </c>
      <c r="F144" s="153">
        <f>2+28</f>
        <v>30</v>
      </c>
      <c r="G144" s="135">
        <v>1347200</v>
      </c>
      <c r="H144" s="119">
        <f t="shared" ref="H144:H153" si="13">+(1300000/30)*F144</f>
        <v>1300000</v>
      </c>
      <c r="I144" s="119">
        <f t="shared" ref="I144:I153" si="14">+(((1300000*92%)+162000)/30)*F144</f>
        <v>1358000</v>
      </c>
      <c r="J144" s="111">
        <f t="shared" si="12"/>
        <v>-10800</v>
      </c>
      <c r="K144" s="135" t="s">
        <v>552</v>
      </c>
      <c r="L144" s="136" t="s">
        <v>306</v>
      </c>
      <c r="M144" s="129"/>
      <c r="N144" s="129"/>
      <c r="O144" s="129"/>
      <c r="P144" s="123"/>
    </row>
    <row r="145" spans="1:16" hidden="1">
      <c r="A145" s="122" t="s">
        <v>339</v>
      </c>
      <c r="B145" s="122" t="s">
        <v>17</v>
      </c>
      <c r="C145" s="115">
        <v>36466591</v>
      </c>
      <c r="D145" s="144" t="s">
        <v>526</v>
      </c>
      <c r="E145" s="114">
        <v>45369</v>
      </c>
      <c r="F145" s="124">
        <v>30</v>
      </c>
      <c r="G145" s="119">
        <v>1358000</v>
      </c>
      <c r="H145" s="119">
        <f t="shared" si="13"/>
        <v>1300000</v>
      </c>
      <c r="I145" s="119">
        <f t="shared" si="14"/>
        <v>1358000</v>
      </c>
      <c r="J145" s="119">
        <f t="shared" si="12"/>
        <v>0</v>
      </c>
      <c r="K145" s="119" t="s">
        <v>552</v>
      </c>
      <c r="L145" s="125" t="s">
        <v>341</v>
      </c>
      <c r="M145" s="123"/>
      <c r="N145" s="123"/>
      <c r="O145" s="123"/>
      <c r="P145" s="123"/>
    </row>
    <row r="146" spans="1:16" hidden="1">
      <c r="A146" s="122" t="s">
        <v>420</v>
      </c>
      <c r="B146" s="127" t="s">
        <v>17</v>
      </c>
      <c r="C146" s="130">
        <v>1024549825</v>
      </c>
      <c r="D146" s="131" t="s">
        <v>430</v>
      </c>
      <c r="E146" s="114">
        <v>45371</v>
      </c>
      <c r="F146" s="153">
        <f>1+29</f>
        <v>30</v>
      </c>
      <c r="G146" s="132">
        <v>1352601</v>
      </c>
      <c r="H146" s="119">
        <f t="shared" si="13"/>
        <v>1300000</v>
      </c>
      <c r="I146" s="119">
        <f t="shared" si="14"/>
        <v>1358000</v>
      </c>
      <c r="J146" s="111">
        <f t="shared" si="12"/>
        <v>-5399</v>
      </c>
      <c r="K146" s="132" t="s">
        <v>552</v>
      </c>
      <c r="L146" s="127" t="s">
        <v>408</v>
      </c>
      <c r="M146" s="131"/>
      <c r="N146" s="131"/>
      <c r="O146" s="131"/>
      <c r="P146" s="123"/>
    </row>
    <row r="147" spans="1:16" hidden="1">
      <c r="A147" s="122" t="s">
        <v>386</v>
      </c>
      <c r="B147" s="122" t="s">
        <v>17</v>
      </c>
      <c r="C147" s="115">
        <v>51944258</v>
      </c>
      <c r="D147" s="139" t="s">
        <v>395</v>
      </c>
      <c r="E147" s="114">
        <v>45369</v>
      </c>
      <c r="F147" s="124">
        <v>30</v>
      </c>
      <c r="G147" s="119">
        <v>1358000</v>
      </c>
      <c r="H147" s="119">
        <f t="shared" si="13"/>
        <v>1300000</v>
      </c>
      <c r="I147" s="119">
        <f t="shared" si="14"/>
        <v>1358000</v>
      </c>
      <c r="J147" s="119">
        <f t="shared" si="12"/>
        <v>0</v>
      </c>
      <c r="K147" s="119" t="s">
        <v>552</v>
      </c>
      <c r="L147" s="125" t="s">
        <v>341</v>
      </c>
      <c r="M147" s="123"/>
      <c r="N147" s="123"/>
      <c r="O147" s="123"/>
      <c r="P147" s="123"/>
    </row>
    <row r="148" spans="1:16" hidden="1">
      <c r="A148" s="156" t="s">
        <v>286</v>
      </c>
      <c r="B148" s="129" t="s">
        <v>17</v>
      </c>
      <c r="C148" s="128">
        <v>1024532469</v>
      </c>
      <c r="D148" s="129" t="s">
        <v>293</v>
      </c>
      <c r="E148" s="143">
        <v>45371</v>
      </c>
      <c r="F148" s="137">
        <v>30</v>
      </c>
      <c r="G148" s="119">
        <v>1358000</v>
      </c>
      <c r="H148" s="119">
        <f t="shared" si="13"/>
        <v>1300000</v>
      </c>
      <c r="I148" s="119">
        <f t="shared" si="14"/>
        <v>1358000</v>
      </c>
      <c r="J148" s="119">
        <f t="shared" si="12"/>
        <v>0</v>
      </c>
      <c r="K148" s="119" t="s">
        <v>555</v>
      </c>
      <c r="L148" s="125" t="s">
        <v>259</v>
      </c>
      <c r="M148" s="123"/>
      <c r="N148" s="123"/>
      <c r="O148" s="123"/>
      <c r="P148" s="123"/>
    </row>
    <row r="149" spans="1:16" hidden="1">
      <c r="A149" s="159" t="s">
        <v>413</v>
      </c>
      <c r="B149" s="127" t="s">
        <v>17</v>
      </c>
      <c r="C149" s="130">
        <v>51983032</v>
      </c>
      <c r="D149" s="131" t="s">
        <v>419</v>
      </c>
      <c r="E149" s="114">
        <v>45369</v>
      </c>
      <c r="F149" s="124">
        <v>30</v>
      </c>
      <c r="G149" s="132">
        <v>1358000</v>
      </c>
      <c r="H149" s="119">
        <f t="shared" si="13"/>
        <v>1300000</v>
      </c>
      <c r="I149" s="119">
        <f t="shared" si="14"/>
        <v>1358000</v>
      </c>
      <c r="J149" s="119">
        <f t="shared" si="12"/>
        <v>0</v>
      </c>
      <c r="K149" s="132" t="s">
        <v>552</v>
      </c>
      <c r="L149" s="127" t="s">
        <v>408</v>
      </c>
      <c r="M149" s="131"/>
      <c r="N149" s="131"/>
      <c r="O149" s="131"/>
      <c r="P149" s="123"/>
    </row>
    <row r="150" spans="1:16" hidden="1">
      <c r="A150" s="122" t="s">
        <v>339</v>
      </c>
      <c r="B150" s="122" t="s">
        <v>17</v>
      </c>
      <c r="C150" s="115">
        <v>52742012</v>
      </c>
      <c r="D150" s="123" t="s">
        <v>363</v>
      </c>
      <c r="E150" s="114">
        <v>45369</v>
      </c>
      <c r="F150" s="124">
        <v>30</v>
      </c>
      <c r="G150" s="119">
        <v>1358000</v>
      </c>
      <c r="H150" s="119">
        <f t="shared" si="13"/>
        <v>1300000</v>
      </c>
      <c r="I150" s="119">
        <f t="shared" si="14"/>
        <v>1358000</v>
      </c>
      <c r="J150" s="119">
        <f t="shared" si="12"/>
        <v>0</v>
      </c>
      <c r="K150" s="119" t="s">
        <v>552</v>
      </c>
      <c r="L150" s="125" t="s">
        <v>341</v>
      </c>
      <c r="M150" s="123"/>
      <c r="N150" s="123"/>
      <c r="O150" s="123"/>
      <c r="P150" s="123"/>
    </row>
    <row r="151" spans="1:16" hidden="1">
      <c r="A151" s="159" t="s">
        <v>1398</v>
      </c>
      <c r="B151" s="127" t="s">
        <v>423</v>
      </c>
      <c r="C151" s="130">
        <v>52239435</v>
      </c>
      <c r="D151" s="131" t="s">
        <v>527</v>
      </c>
      <c r="E151" s="114">
        <v>45369</v>
      </c>
      <c r="F151" s="124">
        <v>30</v>
      </c>
      <c r="G151" s="132">
        <v>1358000</v>
      </c>
      <c r="H151" s="119">
        <f t="shared" si="13"/>
        <v>1300000</v>
      </c>
      <c r="I151" s="119">
        <f t="shared" si="14"/>
        <v>1358000</v>
      </c>
      <c r="J151" s="119">
        <f t="shared" si="12"/>
        <v>0</v>
      </c>
      <c r="K151" s="132" t="s">
        <v>552</v>
      </c>
      <c r="L151" s="127" t="s">
        <v>408</v>
      </c>
      <c r="M151" s="131"/>
      <c r="N151" s="131"/>
      <c r="O151" s="131"/>
      <c r="P151" s="123"/>
    </row>
    <row r="152" spans="1:16" hidden="1">
      <c r="A152" s="122" t="s">
        <v>339</v>
      </c>
      <c r="B152" s="122" t="s">
        <v>17</v>
      </c>
      <c r="C152" s="115">
        <v>1073673765</v>
      </c>
      <c r="D152" s="123" t="s">
        <v>364</v>
      </c>
      <c r="E152" s="114">
        <v>45369</v>
      </c>
      <c r="F152" s="124">
        <v>30</v>
      </c>
      <c r="G152" s="119">
        <v>1358000</v>
      </c>
      <c r="H152" s="119">
        <f t="shared" si="13"/>
        <v>1300000</v>
      </c>
      <c r="I152" s="119">
        <f t="shared" si="14"/>
        <v>1358000</v>
      </c>
      <c r="J152" s="119">
        <f t="shared" si="12"/>
        <v>0</v>
      </c>
      <c r="K152" s="119" t="s">
        <v>552</v>
      </c>
      <c r="L152" s="125" t="s">
        <v>341</v>
      </c>
      <c r="M152" s="123"/>
      <c r="N152" s="123"/>
      <c r="O152" s="123"/>
      <c r="P152" s="123"/>
    </row>
    <row r="153" spans="1:16" hidden="1">
      <c r="A153" s="156" t="s">
        <v>312</v>
      </c>
      <c r="B153" s="129" t="s">
        <v>17</v>
      </c>
      <c r="C153" s="128">
        <v>52746420</v>
      </c>
      <c r="D153" s="129" t="s">
        <v>313</v>
      </c>
      <c r="E153" s="133">
        <v>45369</v>
      </c>
      <c r="F153" s="134">
        <v>30</v>
      </c>
      <c r="G153" s="135">
        <v>1358000</v>
      </c>
      <c r="H153" s="119">
        <f t="shared" si="13"/>
        <v>1300000</v>
      </c>
      <c r="I153" s="119">
        <f t="shared" si="14"/>
        <v>1358000</v>
      </c>
      <c r="J153" s="119">
        <f t="shared" si="12"/>
        <v>0</v>
      </c>
      <c r="K153" s="135" t="s">
        <v>552</v>
      </c>
      <c r="L153" s="136" t="s">
        <v>306</v>
      </c>
      <c r="M153" s="129"/>
      <c r="N153" s="129"/>
      <c r="O153" s="129"/>
      <c r="P153" s="123"/>
    </row>
    <row r="154" spans="1:16" hidden="1">
      <c r="A154" s="122" t="s">
        <v>339</v>
      </c>
      <c r="B154" s="122" t="s">
        <v>373</v>
      </c>
      <c r="C154" s="115">
        <v>4266714</v>
      </c>
      <c r="D154" s="123" t="s">
        <v>380</v>
      </c>
      <c r="E154" s="114">
        <v>45369</v>
      </c>
      <c r="F154" s="124">
        <v>30</v>
      </c>
      <c r="G154" s="118">
        <v>1440800</v>
      </c>
      <c r="H154" s="119">
        <f>+(1390000/30)*F154</f>
        <v>1390000</v>
      </c>
      <c r="I154" s="119">
        <f>+(((1390000*92%)+162000)/30)*F154</f>
        <v>1440800</v>
      </c>
      <c r="J154" s="119">
        <f t="shared" si="12"/>
        <v>0</v>
      </c>
      <c r="K154" s="119" t="s">
        <v>552</v>
      </c>
      <c r="L154" s="125" t="s">
        <v>341</v>
      </c>
      <c r="M154" s="123"/>
      <c r="N154" s="123"/>
      <c r="O154" s="123"/>
      <c r="P154" s="123"/>
    </row>
    <row r="155" spans="1:16" hidden="1">
      <c r="A155" s="122" t="s">
        <v>339</v>
      </c>
      <c r="B155" s="122" t="s">
        <v>302</v>
      </c>
      <c r="C155" s="115">
        <v>1022931201</v>
      </c>
      <c r="D155" s="144" t="s">
        <v>528</v>
      </c>
      <c r="E155" s="114">
        <v>45369</v>
      </c>
      <c r="F155" s="151">
        <v>10</v>
      </c>
      <c r="G155" s="119"/>
      <c r="H155" s="119">
        <f>+(1401000/30)*F155</f>
        <v>467000</v>
      </c>
      <c r="I155" s="119">
        <f>+(((1401000*92%)+(162000+135000+95000))/30)*F155</f>
        <v>560306.66666666663</v>
      </c>
      <c r="J155" s="111">
        <f t="shared" si="12"/>
        <v>-560306.66666666663</v>
      </c>
      <c r="K155" s="119" t="s">
        <v>511</v>
      </c>
      <c r="L155" s="125" t="s">
        <v>341</v>
      </c>
      <c r="M155" s="123"/>
      <c r="N155" s="123"/>
      <c r="O155" s="123"/>
      <c r="P155" s="123"/>
    </row>
    <row r="156" spans="1:16" hidden="1">
      <c r="A156" s="156" t="s">
        <v>274</v>
      </c>
      <c r="B156" s="129" t="s">
        <v>373</v>
      </c>
      <c r="C156" s="128">
        <v>1015398680</v>
      </c>
      <c r="D156" s="129" t="s">
        <v>279</v>
      </c>
      <c r="E156" s="116">
        <v>45369</v>
      </c>
      <c r="F156" s="137">
        <v>30</v>
      </c>
      <c r="G156" s="119">
        <v>1440800</v>
      </c>
      <c r="H156" s="119">
        <f>+(1390000/30)*F156</f>
        <v>1390000</v>
      </c>
      <c r="I156" s="119">
        <f>+(((1390000*92%)+162000)/30)*F156</f>
        <v>1440800</v>
      </c>
      <c r="J156" s="119">
        <f t="shared" si="12"/>
        <v>0</v>
      </c>
      <c r="K156" s="119" t="s">
        <v>552</v>
      </c>
      <c r="L156" s="125" t="s">
        <v>259</v>
      </c>
      <c r="M156" s="123"/>
      <c r="N156" s="123"/>
      <c r="O156" s="123"/>
      <c r="P156" s="123"/>
    </row>
    <row r="157" spans="1:16" hidden="1">
      <c r="A157" s="156" t="s">
        <v>312</v>
      </c>
      <c r="B157" s="129" t="s">
        <v>17</v>
      </c>
      <c r="C157" s="128">
        <v>52957218</v>
      </c>
      <c r="D157" s="129" t="s">
        <v>316</v>
      </c>
      <c r="E157" s="133">
        <v>45369</v>
      </c>
      <c r="F157" s="134">
        <v>30</v>
      </c>
      <c r="G157" s="135">
        <v>1358000</v>
      </c>
      <c r="H157" s="119">
        <f>+(1300000/30)*F157</f>
        <v>1300000</v>
      </c>
      <c r="I157" s="119">
        <f>+(((1300000*92%)+162000)/30)*F157</f>
        <v>1358000</v>
      </c>
      <c r="J157" s="119">
        <f t="shared" si="12"/>
        <v>0</v>
      </c>
      <c r="K157" s="135" t="s">
        <v>552</v>
      </c>
      <c r="L157" s="136" t="s">
        <v>306</v>
      </c>
      <c r="M157" s="129"/>
      <c r="N157" s="129"/>
      <c r="O157" s="129"/>
      <c r="P157" s="123"/>
    </row>
    <row r="158" spans="1:16" hidden="1">
      <c r="A158" s="156" t="s">
        <v>286</v>
      </c>
      <c r="B158" s="129" t="s">
        <v>17</v>
      </c>
      <c r="C158" s="128">
        <v>52343346</v>
      </c>
      <c r="D158" s="129" t="s">
        <v>294</v>
      </c>
      <c r="E158" s="116">
        <v>45369</v>
      </c>
      <c r="F158" s="149">
        <f>8+22</f>
        <v>30</v>
      </c>
      <c r="G158" s="119">
        <v>995867</v>
      </c>
      <c r="H158" s="119">
        <f>+(1300000/30)*F158</f>
        <v>1300000</v>
      </c>
      <c r="I158" s="119">
        <f>+(((1300000*92%)+162000)/30)*F158</f>
        <v>1358000</v>
      </c>
      <c r="J158" s="111">
        <f t="shared" si="12"/>
        <v>-362133</v>
      </c>
      <c r="K158" s="119" t="s">
        <v>552</v>
      </c>
      <c r="L158" s="125" t="s">
        <v>259</v>
      </c>
      <c r="M158" s="123"/>
      <c r="N158" s="123"/>
      <c r="O158" s="123"/>
      <c r="P158" s="123"/>
    </row>
    <row r="159" spans="1:16" hidden="1">
      <c r="A159" s="75" t="s">
        <v>286</v>
      </c>
      <c r="B159" s="112" t="s">
        <v>373</v>
      </c>
      <c r="C159" s="128">
        <v>1023879634</v>
      </c>
      <c r="D159" s="129" t="s">
        <v>547</v>
      </c>
      <c r="E159" s="116">
        <v>45395</v>
      </c>
      <c r="F159" s="149">
        <v>18</v>
      </c>
      <c r="G159" s="118">
        <v>864480</v>
      </c>
      <c r="H159" s="119">
        <f>+(1390000/30)*F159</f>
        <v>834000</v>
      </c>
      <c r="I159" s="119">
        <f>+(((1390000*92%)+162000)/30)*F159</f>
        <v>864480</v>
      </c>
      <c r="J159" s="119">
        <f t="shared" si="12"/>
        <v>0</v>
      </c>
      <c r="K159" s="119" t="s">
        <v>558</v>
      </c>
      <c r="L159" s="125"/>
      <c r="M159" s="123"/>
      <c r="N159" s="123"/>
      <c r="O159" s="123"/>
      <c r="P159" s="123"/>
    </row>
    <row r="160" spans="1:16" hidden="1">
      <c r="A160" s="156" t="s">
        <v>304</v>
      </c>
      <c r="B160" s="129" t="s">
        <v>373</v>
      </c>
      <c r="C160" s="128">
        <v>1127388893</v>
      </c>
      <c r="D160" s="129" t="s">
        <v>305</v>
      </c>
      <c r="E160" s="133">
        <v>45369</v>
      </c>
      <c r="F160" s="134">
        <v>30</v>
      </c>
      <c r="G160" s="135">
        <v>1440800</v>
      </c>
      <c r="H160" s="119">
        <f>+(1390000/30)*F160</f>
        <v>1390000</v>
      </c>
      <c r="I160" s="119">
        <f>+(((1390000*92%)+162000)/30)*F160</f>
        <v>1440800</v>
      </c>
      <c r="J160" s="119">
        <f t="shared" si="12"/>
        <v>0</v>
      </c>
      <c r="K160" s="135" t="s">
        <v>512</v>
      </c>
      <c r="L160" s="136" t="s">
        <v>306</v>
      </c>
      <c r="M160" s="129"/>
      <c r="N160" s="129"/>
      <c r="O160" s="129"/>
      <c r="P160" s="73" t="s">
        <v>563</v>
      </c>
    </row>
    <row r="161" spans="1:16" hidden="1">
      <c r="A161" s="155" t="s">
        <v>257</v>
      </c>
      <c r="B161" s="129" t="s">
        <v>373</v>
      </c>
      <c r="C161" s="130">
        <v>1023015035</v>
      </c>
      <c r="D161" s="131" t="s">
        <v>260</v>
      </c>
      <c r="E161" s="116">
        <v>45369</v>
      </c>
      <c r="F161" s="137">
        <v>30</v>
      </c>
      <c r="G161" s="119">
        <v>1440800</v>
      </c>
      <c r="H161" s="119">
        <f>+(1390000/30)*F161</f>
        <v>1390000</v>
      </c>
      <c r="I161" s="119">
        <f>+(((1390000*92%)+162000)/30)*F161</f>
        <v>1440800</v>
      </c>
      <c r="J161" s="119">
        <f t="shared" si="12"/>
        <v>0</v>
      </c>
      <c r="K161" s="119" t="s">
        <v>552</v>
      </c>
      <c r="L161" s="125" t="s">
        <v>259</v>
      </c>
      <c r="M161" s="123"/>
      <c r="N161" s="123"/>
      <c r="O161" s="123"/>
      <c r="P161" s="123"/>
    </row>
    <row r="162" spans="1:16" hidden="1">
      <c r="A162" s="156" t="s">
        <v>312</v>
      </c>
      <c r="B162" s="129" t="s">
        <v>373</v>
      </c>
      <c r="C162" s="128">
        <v>1023961022</v>
      </c>
      <c r="D162" s="129" t="s">
        <v>314</v>
      </c>
      <c r="E162" s="133">
        <v>45369</v>
      </c>
      <c r="F162" s="134">
        <v>30</v>
      </c>
      <c r="G162" s="135">
        <v>1440800</v>
      </c>
      <c r="H162" s="119">
        <f>+(1390000/30)*F162</f>
        <v>1390000</v>
      </c>
      <c r="I162" s="119">
        <f>+(((1390000*92%)+162000)/30)*F162</f>
        <v>1440800</v>
      </c>
      <c r="J162" s="119">
        <f t="shared" ref="J162:J193" si="15">+G162-I162</f>
        <v>0</v>
      </c>
      <c r="K162" s="135" t="s">
        <v>552</v>
      </c>
      <c r="L162" s="136" t="s">
        <v>306</v>
      </c>
      <c r="M162" s="129"/>
      <c r="N162" s="129"/>
      <c r="O162" s="129"/>
      <c r="P162" s="123"/>
    </row>
    <row r="163" spans="1:16" hidden="1">
      <c r="A163" s="122" t="s">
        <v>420</v>
      </c>
      <c r="B163" s="127" t="s">
        <v>423</v>
      </c>
      <c r="C163" s="130">
        <v>52937650</v>
      </c>
      <c r="D163" s="131" t="s">
        <v>425</v>
      </c>
      <c r="E163" s="114">
        <v>45369</v>
      </c>
      <c r="F163" s="153">
        <f>2+28</f>
        <v>30</v>
      </c>
      <c r="G163" s="118">
        <v>1347200</v>
      </c>
      <c r="H163" s="119">
        <f>+(1300000/30)*F163</f>
        <v>1300000</v>
      </c>
      <c r="I163" s="119">
        <f>+(((1300000*92%)+162000)/30)*F163</f>
        <v>1358000</v>
      </c>
      <c r="J163" s="111">
        <f t="shared" si="15"/>
        <v>-10800</v>
      </c>
      <c r="K163" s="119" t="s">
        <v>552</v>
      </c>
      <c r="L163" s="127" t="s">
        <v>408</v>
      </c>
      <c r="M163" s="131"/>
      <c r="N163" s="131"/>
      <c r="O163" s="131"/>
      <c r="P163" s="123"/>
    </row>
    <row r="164" spans="1:16" hidden="1">
      <c r="A164" s="159" t="s">
        <v>400</v>
      </c>
      <c r="B164" s="122" t="s">
        <v>373</v>
      </c>
      <c r="C164" s="115">
        <v>79667853</v>
      </c>
      <c r="D164" s="123" t="s">
        <v>402</v>
      </c>
      <c r="E164" s="114">
        <v>45369</v>
      </c>
      <c r="F164" s="124">
        <v>30</v>
      </c>
      <c r="G164" s="119">
        <v>1440800</v>
      </c>
      <c r="H164" s="119">
        <f>+(1390000/30)*F164</f>
        <v>1390000</v>
      </c>
      <c r="I164" s="119">
        <f>+(((1390000*92%)+162000)/30)*F164</f>
        <v>1440800</v>
      </c>
      <c r="J164" s="119">
        <f t="shared" si="15"/>
        <v>0</v>
      </c>
      <c r="K164" s="119" t="s">
        <v>552</v>
      </c>
      <c r="L164" s="125" t="s">
        <v>341</v>
      </c>
      <c r="M164" s="123"/>
      <c r="N164" s="123"/>
      <c r="O164" s="123"/>
      <c r="P164" s="123"/>
    </row>
    <row r="165" spans="1:16" hidden="1">
      <c r="A165" s="122" t="s">
        <v>339</v>
      </c>
      <c r="B165" s="122" t="s">
        <v>17</v>
      </c>
      <c r="C165" s="115">
        <v>1024483297</v>
      </c>
      <c r="D165" s="123" t="s">
        <v>365</v>
      </c>
      <c r="E165" s="114">
        <v>45369</v>
      </c>
      <c r="F165" s="151">
        <v>30</v>
      </c>
      <c r="G165" s="119">
        <v>1454876</v>
      </c>
      <c r="H165" s="119">
        <f>+(1330300/30)*F165</f>
        <v>1330300</v>
      </c>
      <c r="I165" s="119">
        <f>+(((1330300*92%)+162000)/30)*F165</f>
        <v>1385876</v>
      </c>
      <c r="J165" s="111">
        <f t="shared" si="15"/>
        <v>69000</v>
      </c>
      <c r="K165" s="119" t="s">
        <v>552</v>
      </c>
      <c r="L165" s="125" t="s">
        <v>341</v>
      </c>
      <c r="M165" s="123"/>
      <c r="N165" s="123"/>
      <c r="O165" s="123"/>
      <c r="P165" s="123"/>
    </row>
    <row r="166" spans="1:16" hidden="1">
      <c r="A166" s="122" t="s">
        <v>339</v>
      </c>
      <c r="B166" s="122" t="s">
        <v>17</v>
      </c>
      <c r="C166" s="115">
        <v>1033734646</v>
      </c>
      <c r="D166" s="123" t="s">
        <v>366</v>
      </c>
      <c r="E166" s="114">
        <v>45369</v>
      </c>
      <c r="F166" s="124">
        <v>30</v>
      </c>
      <c r="G166" s="119">
        <v>1358000</v>
      </c>
      <c r="H166" s="119">
        <f>+(1300000/30)*F166</f>
        <v>1300000</v>
      </c>
      <c r="I166" s="119">
        <f>+(((1300000*92%)+162000)/30)*F166</f>
        <v>1358000</v>
      </c>
      <c r="J166" s="119">
        <f t="shared" si="15"/>
        <v>0</v>
      </c>
      <c r="K166" s="119" t="s">
        <v>552</v>
      </c>
      <c r="L166" s="125" t="s">
        <v>341</v>
      </c>
      <c r="M166" s="123"/>
      <c r="N166" s="123"/>
      <c r="O166" s="123"/>
      <c r="P166" s="123"/>
    </row>
    <row r="167" spans="1:16" hidden="1">
      <c r="A167" s="122" t="s">
        <v>339</v>
      </c>
      <c r="B167" s="122" t="s">
        <v>17</v>
      </c>
      <c r="C167" s="115">
        <v>51837271</v>
      </c>
      <c r="D167" s="123" t="s">
        <v>367</v>
      </c>
      <c r="E167" s="114">
        <v>45369</v>
      </c>
      <c r="F167" s="124">
        <v>30</v>
      </c>
      <c r="G167" s="119">
        <v>1358000</v>
      </c>
      <c r="H167" s="119">
        <f>+(1300000/30)*F167</f>
        <v>1300000</v>
      </c>
      <c r="I167" s="119">
        <f>+(((1300000*92%)+162000)/30)*F167</f>
        <v>1358000</v>
      </c>
      <c r="J167" s="119">
        <f t="shared" si="15"/>
        <v>0</v>
      </c>
      <c r="K167" s="119" t="s">
        <v>552</v>
      </c>
      <c r="L167" s="125" t="s">
        <v>341</v>
      </c>
      <c r="M167" s="123"/>
      <c r="N167" s="123"/>
      <c r="O167" s="123"/>
      <c r="P167" s="123"/>
    </row>
    <row r="168" spans="1:16" hidden="1">
      <c r="A168" s="156" t="s">
        <v>328</v>
      </c>
      <c r="B168" s="129" t="s">
        <v>17</v>
      </c>
      <c r="C168" s="128">
        <v>52822662</v>
      </c>
      <c r="D168" s="129" t="s">
        <v>337</v>
      </c>
      <c r="E168" s="147">
        <v>45385</v>
      </c>
      <c r="F168" s="151">
        <v>28</v>
      </c>
      <c r="G168" s="119">
        <v>1267466.6666666665</v>
      </c>
      <c r="H168" s="119">
        <f>+(1300000/30)*F168</f>
        <v>1213333.3333333335</v>
      </c>
      <c r="I168" s="119">
        <f>+(((1300000*92%)+162000)/30)*F168</f>
        <v>1267466.6666666665</v>
      </c>
      <c r="J168" s="119">
        <f t="shared" si="15"/>
        <v>0</v>
      </c>
      <c r="K168" s="135" t="s">
        <v>551</v>
      </c>
      <c r="L168" s="136" t="s">
        <v>306</v>
      </c>
      <c r="M168" s="129"/>
      <c r="N168" s="129"/>
      <c r="O168" s="129"/>
      <c r="P168" s="123"/>
    </row>
    <row r="169" spans="1:16" hidden="1">
      <c r="A169" s="75"/>
      <c r="B169" s="112"/>
      <c r="C169" s="128">
        <v>52801072</v>
      </c>
      <c r="D169" s="129" t="s">
        <v>549</v>
      </c>
      <c r="E169" s="116">
        <v>45407</v>
      </c>
      <c r="F169" s="149">
        <v>6</v>
      </c>
      <c r="G169" s="119">
        <v>271600</v>
      </c>
      <c r="H169" s="119">
        <f>+(1300000/30)*F169</f>
        <v>260000</v>
      </c>
      <c r="I169" s="119">
        <f>+(((1300000*92%)+162000)/30)*F169</f>
        <v>271600</v>
      </c>
      <c r="J169" s="119">
        <f t="shared" si="15"/>
        <v>0</v>
      </c>
      <c r="K169" s="135" t="s">
        <v>555</v>
      </c>
      <c r="L169" s="136"/>
      <c r="M169" s="129"/>
      <c r="N169" s="129"/>
      <c r="O169" s="129"/>
      <c r="P169" s="123"/>
    </row>
    <row r="170" spans="1:16" hidden="1">
      <c r="A170" s="75"/>
      <c r="B170" s="112"/>
      <c r="C170" s="128">
        <v>1033740220</v>
      </c>
      <c r="D170" s="129" t="s">
        <v>548</v>
      </c>
      <c r="E170" s="116">
        <v>45395</v>
      </c>
      <c r="F170" s="149">
        <v>18</v>
      </c>
      <c r="G170" s="119">
        <v>864480</v>
      </c>
      <c r="H170" s="119">
        <f>+(1390000/30)*F170</f>
        <v>834000</v>
      </c>
      <c r="I170" s="119">
        <f>+(((1390000*92%)+162000)/30)*F170</f>
        <v>864480</v>
      </c>
      <c r="J170" s="119">
        <f t="shared" si="15"/>
        <v>0</v>
      </c>
      <c r="K170" s="135" t="s">
        <v>552</v>
      </c>
      <c r="L170" s="136"/>
      <c r="M170" s="129"/>
      <c r="N170" s="129"/>
      <c r="O170" s="129"/>
      <c r="P170" s="123"/>
    </row>
    <row r="171" spans="1:16" hidden="1">
      <c r="A171" s="156" t="s">
        <v>274</v>
      </c>
      <c r="B171" s="129" t="s">
        <v>280</v>
      </c>
      <c r="C171" s="128">
        <v>1065241408</v>
      </c>
      <c r="D171" s="129" t="s">
        <v>281</v>
      </c>
      <c r="E171" s="143">
        <v>45371</v>
      </c>
      <c r="F171" s="149">
        <v>30</v>
      </c>
      <c r="G171" s="119">
        <v>1409520</v>
      </c>
      <c r="H171" s="119">
        <f>+(1356000/30)*F171</f>
        <v>1356000</v>
      </c>
      <c r="I171" s="119">
        <f>+(((1356000*92%)+162000)/30)*F171</f>
        <v>1409520</v>
      </c>
      <c r="J171" s="119">
        <f t="shared" si="15"/>
        <v>0</v>
      </c>
      <c r="K171" s="119" t="s">
        <v>551</v>
      </c>
      <c r="L171" s="125" t="s">
        <v>259</v>
      </c>
      <c r="M171" s="123"/>
      <c r="N171" s="123"/>
      <c r="O171" s="123"/>
      <c r="P171" s="73" t="s">
        <v>559</v>
      </c>
    </row>
    <row r="172" spans="1:16" hidden="1">
      <c r="A172" s="77" t="s">
        <v>339</v>
      </c>
      <c r="B172" s="129" t="s">
        <v>17</v>
      </c>
      <c r="C172" s="115">
        <v>1045229413</v>
      </c>
      <c r="D172" s="123" t="s">
        <v>478</v>
      </c>
      <c r="E172" s="114">
        <v>45374</v>
      </c>
      <c r="F172" s="152">
        <v>2</v>
      </c>
      <c r="G172" s="142"/>
      <c r="H172" s="119">
        <f>+(1300000/30)*F172</f>
        <v>86666.666666666672</v>
      </c>
      <c r="I172" s="119">
        <f>+(((1300000*92%)+162000)/30)*F172</f>
        <v>90533.333333333328</v>
      </c>
      <c r="J172" s="111">
        <f t="shared" si="15"/>
        <v>-90533.333333333328</v>
      </c>
      <c r="K172" s="142" t="s">
        <v>511</v>
      </c>
      <c r="L172" s="77"/>
      <c r="M172" s="123"/>
      <c r="N172" s="123"/>
      <c r="O172" s="123"/>
      <c r="P172" s="123"/>
    </row>
    <row r="173" spans="1:16" hidden="1">
      <c r="A173" s="122" t="s">
        <v>339</v>
      </c>
      <c r="B173" s="122" t="s">
        <v>17</v>
      </c>
      <c r="C173" s="115">
        <v>52973679</v>
      </c>
      <c r="D173" s="123" t="s">
        <v>529</v>
      </c>
      <c r="E173" s="114">
        <v>45369</v>
      </c>
      <c r="F173" s="124">
        <v>30</v>
      </c>
      <c r="G173" s="119">
        <v>1358000</v>
      </c>
      <c r="H173" s="119">
        <f>+(1300000/30)*F173</f>
        <v>1300000</v>
      </c>
      <c r="I173" s="119">
        <f>+(((1300000*92%)+162000)/30)*F173</f>
        <v>1358000</v>
      </c>
      <c r="J173" s="119">
        <f t="shared" si="15"/>
        <v>0</v>
      </c>
      <c r="K173" s="119" t="s">
        <v>552</v>
      </c>
      <c r="L173" s="125" t="s">
        <v>341</v>
      </c>
      <c r="M173" s="123"/>
      <c r="N173" s="123"/>
      <c r="O173" s="123"/>
      <c r="P173" s="123"/>
    </row>
    <row r="174" spans="1:16" hidden="1">
      <c r="A174" s="126" t="s">
        <v>286</v>
      </c>
      <c r="B174" s="129" t="s">
        <v>373</v>
      </c>
      <c r="C174" s="128">
        <v>79398677</v>
      </c>
      <c r="D174" s="129" t="s">
        <v>295</v>
      </c>
      <c r="E174" s="116">
        <v>45369</v>
      </c>
      <c r="F174" s="153">
        <f>1+29</f>
        <v>30</v>
      </c>
      <c r="G174" s="119">
        <v>1392773</v>
      </c>
      <c r="H174" s="119">
        <f>+(1390000/30)*F174</f>
        <v>1390000</v>
      </c>
      <c r="I174" s="119">
        <f>+(((1390000*92%)+162000)/30)*F174</f>
        <v>1440800</v>
      </c>
      <c r="J174" s="111">
        <f t="shared" si="15"/>
        <v>-48027</v>
      </c>
      <c r="K174" s="119" t="s">
        <v>555</v>
      </c>
      <c r="L174" s="125" t="s">
        <v>259</v>
      </c>
      <c r="M174" s="123"/>
      <c r="N174" s="123"/>
      <c r="O174" s="123"/>
      <c r="P174" s="123"/>
    </row>
    <row r="175" spans="1:16" hidden="1">
      <c r="A175" s="156" t="s">
        <v>312</v>
      </c>
      <c r="B175" s="129" t="s">
        <v>17</v>
      </c>
      <c r="C175" s="128">
        <v>1026265130</v>
      </c>
      <c r="D175" s="129" t="s">
        <v>315</v>
      </c>
      <c r="E175" s="133">
        <v>45369</v>
      </c>
      <c r="F175" s="134">
        <v>30</v>
      </c>
      <c r="G175" s="135">
        <v>1358000</v>
      </c>
      <c r="H175" s="119">
        <f>+(1300000/30)*F175</f>
        <v>1300000</v>
      </c>
      <c r="I175" s="119">
        <f>+(((1300000*92%)+162000)/30)*F175</f>
        <v>1358000</v>
      </c>
      <c r="J175" s="119">
        <f t="shared" si="15"/>
        <v>0</v>
      </c>
      <c r="K175" s="148" t="s">
        <v>555</v>
      </c>
      <c r="L175" s="136" t="s">
        <v>306</v>
      </c>
      <c r="M175" s="129"/>
      <c r="N175" s="129"/>
      <c r="O175" s="129"/>
      <c r="P175" s="123"/>
    </row>
    <row r="176" spans="1:16" hidden="1">
      <c r="A176" s="122" t="s">
        <v>339</v>
      </c>
      <c r="B176" s="122" t="s">
        <v>17</v>
      </c>
      <c r="C176" s="115">
        <v>1020792307</v>
      </c>
      <c r="D176" s="123" t="s">
        <v>368</v>
      </c>
      <c r="E176" s="114">
        <v>45369</v>
      </c>
      <c r="F176" s="152">
        <f>3+27</f>
        <v>30</v>
      </c>
      <c r="G176" s="119">
        <v>1341800</v>
      </c>
      <c r="H176" s="119">
        <f>+(1300000/30)*F176</f>
        <v>1300000</v>
      </c>
      <c r="I176" s="119">
        <f>+(((1300000*92%)+162000)/30)*F176</f>
        <v>1358000</v>
      </c>
      <c r="J176" s="111">
        <f t="shared" si="15"/>
        <v>-16200</v>
      </c>
      <c r="K176" s="119" t="s">
        <v>552</v>
      </c>
      <c r="L176" s="125" t="s">
        <v>341</v>
      </c>
      <c r="M176" s="123"/>
      <c r="N176" s="123"/>
      <c r="O176" s="123"/>
      <c r="P176" s="123"/>
    </row>
    <row r="177" spans="1:16" hidden="1">
      <c r="A177" s="156" t="s">
        <v>328</v>
      </c>
      <c r="B177" s="129" t="s">
        <v>17</v>
      </c>
      <c r="C177" s="128">
        <v>1110579008</v>
      </c>
      <c r="D177" s="129" t="s">
        <v>331</v>
      </c>
      <c r="E177" s="133">
        <v>45369</v>
      </c>
      <c r="F177" s="134">
        <v>30</v>
      </c>
      <c r="G177" s="135">
        <v>1358000</v>
      </c>
      <c r="H177" s="119">
        <f>+(1300000/30)*F177</f>
        <v>1300000</v>
      </c>
      <c r="I177" s="119">
        <f>+(((1300000*92%)+162000)/30)*F177</f>
        <v>1358000</v>
      </c>
      <c r="J177" s="119">
        <f t="shared" si="15"/>
        <v>0</v>
      </c>
      <c r="K177" s="135" t="s">
        <v>555</v>
      </c>
      <c r="L177" s="136" t="s">
        <v>306</v>
      </c>
      <c r="M177" s="129"/>
      <c r="N177" s="129"/>
      <c r="O177" s="129"/>
      <c r="P177" s="123"/>
    </row>
    <row r="178" spans="1:16" hidden="1">
      <c r="A178" s="122" t="s">
        <v>339</v>
      </c>
      <c r="B178" s="122" t="s">
        <v>17</v>
      </c>
      <c r="C178" s="115">
        <v>52292687</v>
      </c>
      <c r="D178" s="123" t="s">
        <v>369</v>
      </c>
      <c r="E178" s="114">
        <v>45369</v>
      </c>
      <c r="F178" s="124">
        <v>30</v>
      </c>
      <c r="G178" s="119">
        <v>1358000</v>
      </c>
      <c r="H178" s="119">
        <f>+(1300000/30)*F178</f>
        <v>1300000</v>
      </c>
      <c r="I178" s="119">
        <f>+(((1300000*92%)+162000)/30)*F178</f>
        <v>1358000</v>
      </c>
      <c r="J178" s="119">
        <f t="shared" si="15"/>
        <v>0</v>
      </c>
      <c r="K178" s="119" t="s">
        <v>552</v>
      </c>
      <c r="L178" s="125" t="s">
        <v>341</v>
      </c>
      <c r="M178" s="123"/>
      <c r="N178" s="123"/>
      <c r="O178" s="123"/>
      <c r="P178" s="123"/>
    </row>
    <row r="179" spans="1:16" hidden="1">
      <c r="A179" s="159" t="s">
        <v>383</v>
      </c>
      <c r="B179" s="122" t="s">
        <v>17</v>
      </c>
      <c r="C179" s="115">
        <v>1023898933</v>
      </c>
      <c r="D179" s="123" t="s">
        <v>385</v>
      </c>
      <c r="E179" s="114">
        <v>45369</v>
      </c>
      <c r="F179" s="153">
        <f>2+28</f>
        <v>30</v>
      </c>
      <c r="G179" s="119">
        <v>1347200</v>
      </c>
      <c r="H179" s="119">
        <f>+(1300000/30)*F179</f>
        <v>1300000</v>
      </c>
      <c r="I179" s="119">
        <f>+(((1300000*92%)+162000)/30)*F179</f>
        <v>1358000</v>
      </c>
      <c r="J179" s="111">
        <f t="shared" si="15"/>
        <v>-10800</v>
      </c>
      <c r="K179" s="119" t="s">
        <v>552</v>
      </c>
      <c r="L179" s="125" t="s">
        <v>341</v>
      </c>
      <c r="M179" s="123"/>
      <c r="N179" s="123"/>
      <c r="O179" s="123"/>
      <c r="P179" s="123"/>
    </row>
    <row r="180" spans="1:16" hidden="1">
      <c r="A180" s="156" t="s">
        <v>274</v>
      </c>
      <c r="B180" s="129" t="s">
        <v>373</v>
      </c>
      <c r="C180" s="128">
        <v>79449859</v>
      </c>
      <c r="D180" s="129" t="s">
        <v>282</v>
      </c>
      <c r="E180" s="116">
        <v>45369</v>
      </c>
      <c r="F180" s="137">
        <v>30</v>
      </c>
      <c r="G180" s="119">
        <v>1440800</v>
      </c>
      <c r="H180" s="119">
        <f>+(1390000/30)*F180</f>
        <v>1390000</v>
      </c>
      <c r="I180" s="119">
        <f>+(((1390000*92%)+162000)/30)*F180</f>
        <v>1440800</v>
      </c>
      <c r="J180" s="119">
        <f t="shared" si="15"/>
        <v>0</v>
      </c>
      <c r="K180" s="119" t="s">
        <v>552</v>
      </c>
      <c r="L180" s="125" t="s">
        <v>259</v>
      </c>
      <c r="M180" s="123"/>
      <c r="N180" s="123"/>
      <c r="O180" s="123"/>
      <c r="P180" s="123"/>
    </row>
    <row r="181" spans="1:16" hidden="1">
      <c r="A181" s="122" t="s">
        <v>339</v>
      </c>
      <c r="B181" s="122" t="s">
        <v>373</v>
      </c>
      <c r="C181" s="115">
        <v>1010003092</v>
      </c>
      <c r="D181" s="123" t="s">
        <v>381</v>
      </c>
      <c r="E181" s="114">
        <v>45374</v>
      </c>
      <c r="F181" s="124">
        <v>30</v>
      </c>
      <c r="G181" s="119">
        <v>1440800</v>
      </c>
      <c r="H181" s="119">
        <f>+(1390000/30)*F181</f>
        <v>1390000</v>
      </c>
      <c r="I181" s="119">
        <f>+(((1390000*92%)+162000)/30)*F181</f>
        <v>1440800</v>
      </c>
      <c r="J181" s="119">
        <f t="shared" si="15"/>
        <v>0</v>
      </c>
      <c r="K181" s="119" t="s">
        <v>552</v>
      </c>
      <c r="L181" s="125" t="s">
        <v>341</v>
      </c>
      <c r="M181" s="123"/>
      <c r="N181" s="123"/>
      <c r="O181" s="123"/>
      <c r="P181" s="123"/>
    </row>
    <row r="182" spans="1:16" hidden="1">
      <c r="A182" s="156" t="s">
        <v>328</v>
      </c>
      <c r="B182" s="129" t="s">
        <v>373</v>
      </c>
      <c r="C182" s="128">
        <v>79633497</v>
      </c>
      <c r="D182" s="129" t="s">
        <v>332</v>
      </c>
      <c r="E182" s="133">
        <v>45369</v>
      </c>
      <c r="F182" s="134">
        <v>30</v>
      </c>
      <c r="G182" s="135">
        <v>1440800</v>
      </c>
      <c r="H182" s="119">
        <f>+(1390000/30)*F182</f>
        <v>1390000</v>
      </c>
      <c r="I182" s="119">
        <f>+(((1390000*92%)+162000)/30)*F182</f>
        <v>1440800</v>
      </c>
      <c r="J182" s="119">
        <f t="shared" si="15"/>
        <v>0</v>
      </c>
      <c r="K182" s="135" t="s">
        <v>551</v>
      </c>
      <c r="L182" s="136" t="s">
        <v>306</v>
      </c>
      <c r="M182" s="129"/>
      <c r="N182" s="129"/>
      <c r="O182" s="129"/>
      <c r="P182" s="123"/>
    </row>
    <row r="183" spans="1:16" hidden="1">
      <c r="A183" s="156" t="s">
        <v>298</v>
      </c>
      <c r="B183" s="112" t="s">
        <v>373</v>
      </c>
      <c r="C183" s="128">
        <v>79509824</v>
      </c>
      <c r="D183" s="129" t="s">
        <v>550</v>
      </c>
      <c r="E183" s="133">
        <v>45398</v>
      </c>
      <c r="F183" s="153">
        <v>15</v>
      </c>
      <c r="G183" s="135">
        <v>720400</v>
      </c>
      <c r="H183" s="119">
        <f>+(1390000/30)*F183</f>
        <v>695000</v>
      </c>
      <c r="I183" s="119">
        <f>+(((1390000*92%)+162000)/30)*F183</f>
        <v>720400</v>
      </c>
      <c r="J183" s="119">
        <f t="shared" si="15"/>
        <v>0</v>
      </c>
      <c r="K183" s="135" t="s">
        <v>556</v>
      </c>
      <c r="L183" s="136"/>
      <c r="M183" s="129"/>
      <c r="N183" s="129"/>
      <c r="O183" s="129"/>
      <c r="P183" s="123"/>
    </row>
    <row r="184" spans="1:16" hidden="1">
      <c r="A184" s="155" t="s">
        <v>257</v>
      </c>
      <c r="B184" s="127" t="s">
        <v>17</v>
      </c>
      <c r="C184" s="128">
        <v>2083675</v>
      </c>
      <c r="D184" s="129" t="s">
        <v>261</v>
      </c>
      <c r="E184" s="143">
        <v>45371</v>
      </c>
      <c r="F184" s="137">
        <v>30</v>
      </c>
      <c r="G184" s="119">
        <v>1358000</v>
      </c>
      <c r="H184" s="119">
        <f>+(1300000/30)*F184</f>
        <v>1300000</v>
      </c>
      <c r="I184" s="119">
        <f>+(((1300000*92%)+162000)/30)*F184</f>
        <v>1358000</v>
      </c>
      <c r="J184" s="119">
        <f t="shared" si="15"/>
        <v>0</v>
      </c>
      <c r="K184" s="119" t="s">
        <v>551</v>
      </c>
      <c r="L184" s="125" t="s">
        <v>259</v>
      </c>
      <c r="M184" s="123"/>
      <c r="N184" s="123"/>
      <c r="O184" s="123"/>
      <c r="P184" s="123"/>
    </row>
    <row r="185" spans="1:16" hidden="1">
      <c r="A185" s="122" t="s">
        <v>339</v>
      </c>
      <c r="B185" s="122" t="s">
        <v>17</v>
      </c>
      <c r="C185" s="115">
        <v>52704600</v>
      </c>
      <c r="D185" s="144" t="s">
        <v>370</v>
      </c>
      <c r="E185" s="114">
        <v>45369</v>
      </c>
      <c r="F185" s="152">
        <f>3+27</f>
        <v>30</v>
      </c>
      <c r="G185" s="119">
        <v>1341800</v>
      </c>
      <c r="H185" s="119">
        <f>+(1300000/30)*F185</f>
        <v>1300000</v>
      </c>
      <c r="I185" s="119">
        <f>+(((1300000*92%)+162000)/30)*F185</f>
        <v>1358000</v>
      </c>
      <c r="J185" s="111">
        <f t="shared" si="15"/>
        <v>-16200</v>
      </c>
      <c r="K185" s="119" t="s">
        <v>552</v>
      </c>
      <c r="L185" s="125" t="s">
        <v>341</v>
      </c>
      <c r="M185" s="123"/>
      <c r="N185" s="123"/>
      <c r="O185" s="123"/>
      <c r="P185" s="123"/>
    </row>
    <row r="186" spans="1:16" hidden="1">
      <c r="A186" s="159" t="s">
        <v>400</v>
      </c>
      <c r="B186" s="122" t="s">
        <v>17</v>
      </c>
      <c r="C186" s="115">
        <v>1023017321</v>
      </c>
      <c r="D186" s="123" t="s">
        <v>405</v>
      </c>
      <c r="E186" s="114">
        <v>45369</v>
      </c>
      <c r="F186" s="124">
        <v>30</v>
      </c>
      <c r="G186" s="119">
        <v>1358000</v>
      </c>
      <c r="H186" s="119">
        <f>+(1300000/30)*F186</f>
        <v>1300000</v>
      </c>
      <c r="I186" s="119">
        <f>+(((1300000*92%)+162000)/30)*F186</f>
        <v>1358000</v>
      </c>
      <c r="J186" s="119">
        <f t="shared" si="15"/>
        <v>0</v>
      </c>
      <c r="K186" s="119" t="s">
        <v>552</v>
      </c>
      <c r="L186" s="125" t="s">
        <v>341</v>
      </c>
      <c r="M186" s="123"/>
      <c r="N186" s="123"/>
      <c r="O186" s="123"/>
      <c r="P186" s="123"/>
    </row>
    <row r="187" spans="1:16" hidden="1">
      <c r="A187" s="122" t="s">
        <v>420</v>
      </c>
      <c r="B187" s="127" t="s">
        <v>423</v>
      </c>
      <c r="C187" s="130">
        <v>39582655</v>
      </c>
      <c r="D187" s="131" t="s">
        <v>431</v>
      </c>
      <c r="E187" s="114">
        <v>45369</v>
      </c>
      <c r="F187" s="124">
        <v>30</v>
      </c>
      <c r="G187" s="132">
        <v>1358000</v>
      </c>
      <c r="H187" s="119">
        <f>+(1300000/30)*F187</f>
        <v>1300000</v>
      </c>
      <c r="I187" s="119">
        <f>+(((1300000*92%)+162000)/30)*F187</f>
        <v>1358000</v>
      </c>
      <c r="J187" s="119">
        <f t="shared" si="15"/>
        <v>0</v>
      </c>
      <c r="K187" s="132" t="s">
        <v>552</v>
      </c>
      <c r="L187" s="127" t="s">
        <v>408</v>
      </c>
      <c r="M187" s="131"/>
      <c r="N187" s="131"/>
      <c r="O187" s="131"/>
      <c r="P187" s="123"/>
    </row>
    <row r="188" spans="1:16" hidden="1">
      <c r="A188" s="159" t="s">
        <v>386</v>
      </c>
      <c r="B188" s="122" t="s">
        <v>373</v>
      </c>
      <c r="C188" s="115">
        <v>79670360</v>
      </c>
      <c r="D188" s="144" t="s">
        <v>398</v>
      </c>
      <c r="E188" s="114">
        <v>45369</v>
      </c>
      <c r="F188" s="153">
        <f>2+10+18</f>
        <v>30</v>
      </c>
      <c r="G188" s="119">
        <v>1924721</v>
      </c>
      <c r="H188" s="119">
        <f>+(1390000/30)*F188</f>
        <v>1390000</v>
      </c>
      <c r="I188" s="119">
        <f>+(((1390000*92%)+162000)/30)*F188</f>
        <v>1440800</v>
      </c>
      <c r="J188" s="111">
        <f t="shared" si="15"/>
        <v>483921</v>
      </c>
      <c r="K188" s="119" t="s">
        <v>552</v>
      </c>
      <c r="L188" s="125" t="s">
        <v>341</v>
      </c>
      <c r="M188" s="123"/>
      <c r="N188" s="123"/>
      <c r="O188" s="123"/>
      <c r="P188" s="123"/>
    </row>
    <row r="189" spans="1:16" hidden="1">
      <c r="A189" s="159" t="s">
        <v>413</v>
      </c>
      <c r="B189" s="127" t="s">
        <v>17</v>
      </c>
      <c r="C189" s="130">
        <v>53176412</v>
      </c>
      <c r="D189" s="131" t="s">
        <v>417</v>
      </c>
      <c r="E189" s="114">
        <v>45369</v>
      </c>
      <c r="F189" s="124">
        <v>30</v>
      </c>
      <c r="G189" s="132">
        <v>1358000</v>
      </c>
      <c r="H189" s="119">
        <f>+(1300000/30)*F189</f>
        <v>1300000</v>
      </c>
      <c r="I189" s="119">
        <f>+(((1300000*92%)+162000)/30)*F189</f>
        <v>1358000</v>
      </c>
      <c r="J189" s="119">
        <f t="shared" si="15"/>
        <v>0</v>
      </c>
      <c r="K189" s="132" t="s">
        <v>552</v>
      </c>
      <c r="L189" s="127" t="s">
        <v>408</v>
      </c>
      <c r="M189" s="131"/>
      <c r="N189" s="131"/>
      <c r="O189" s="131"/>
      <c r="P189" s="123"/>
    </row>
    <row r="190" spans="1:16" hidden="1">
      <c r="A190" s="159" t="s">
        <v>406</v>
      </c>
      <c r="B190" s="127" t="s">
        <v>17</v>
      </c>
      <c r="C190" s="130">
        <v>52286905</v>
      </c>
      <c r="D190" s="131" t="s">
        <v>411</v>
      </c>
      <c r="E190" s="114">
        <v>45369</v>
      </c>
      <c r="F190" s="124">
        <v>30</v>
      </c>
      <c r="G190" s="132">
        <v>1358000</v>
      </c>
      <c r="H190" s="119">
        <f>+(1300000/30)*F190</f>
        <v>1300000</v>
      </c>
      <c r="I190" s="119">
        <f>+(((1300000*92%)+162000)/30)*F190</f>
        <v>1358000</v>
      </c>
      <c r="J190" s="119">
        <f t="shared" si="15"/>
        <v>0</v>
      </c>
      <c r="K190" s="132" t="s">
        <v>552</v>
      </c>
      <c r="L190" s="127" t="s">
        <v>408</v>
      </c>
      <c r="M190" s="131"/>
      <c r="N190" s="131"/>
      <c r="O190" s="131"/>
      <c r="P190" s="123"/>
    </row>
    <row r="191" spans="1:16" hidden="1">
      <c r="A191" s="122" t="s">
        <v>339</v>
      </c>
      <c r="B191" s="122" t="s">
        <v>17</v>
      </c>
      <c r="C191" s="115">
        <v>52751080</v>
      </c>
      <c r="D191" s="123" t="s">
        <v>371</v>
      </c>
      <c r="E191" s="114">
        <v>45369</v>
      </c>
      <c r="F191" s="124">
        <v>30</v>
      </c>
      <c r="G191" s="119">
        <v>1358000</v>
      </c>
      <c r="H191" s="119">
        <f>+(1300000/30)*F191</f>
        <v>1300000</v>
      </c>
      <c r="I191" s="119">
        <f>+(((1300000*92%)+162000)/30)*F191</f>
        <v>1358000</v>
      </c>
      <c r="J191" s="119">
        <f t="shared" si="15"/>
        <v>0</v>
      </c>
      <c r="K191" s="119" t="s">
        <v>555</v>
      </c>
      <c r="L191" s="125" t="s">
        <v>341</v>
      </c>
      <c r="M191" s="123"/>
      <c r="N191" s="123"/>
      <c r="O191" s="123"/>
      <c r="P191" s="123"/>
    </row>
    <row r="192" spans="1:16" hidden="1">
      <c r="A192" s="156" t="s">
        <v>328</v>
      </c>
      <c r="B192" s="129" t="s">
        <v>17</v>
      </c>
      <c r="C192" s="128">
        <v>1022990341</v>
      </c>
      <c r="D192" s="129" t="s">
        <v>333</v>
      </c>
      <c r="E192" s="133">
        <v>45369</v>
      </c>
      <c r="F192" s="134">
        <v>30</v>
      </c>
      <c r="G192" s="135">
        <v>1358000</v>
      </c>
      <c r="H192" s="119">
        <f>+(1300000/30)*F192</f>
        <v>1300000</v>
      </c>
      <c r="I192" s="119">
        <f>+(((1300000*92%)+162000)/30)*F192</f>
        <v>1358000</v>
      </c>
      <c r="J192" s="119">
        <f t="shared" si="15"/>
        <v>0</v>
      </c>
      <c r="K192" s="135" t="s">
        <v>555</v>
      </c>
      <c r="L192" s="136" t="s">
        <v>306</v>
      </c>
      <c r="M192" s="129"/>
      <c r="N192" s="129"/>
      <c r="O192" s="129"/>
      <c r="P192" s="123"/>
    </row>
    <row r="193" spans="1:16" hidden="1">
      <c r="A193" s="122" t="s">
        <v>339</v>
      </c>
      <c r="B193" s="122" t="s">
        <v>373</v>
      </c>
      <c r="C193" s="115">
        <v>1126122551</v>
      </c>
      <c r="D193" s="123" t="s">
        <v>530</v>
      </c>
      <c r="E193" s="114">
        <v>45369</v>
      </c>
      <c r="F193" s="124">
        <v>30</v>
      </c>
      <c r="G193" s="119">
        <v>1440800</v>
      </c>
      <c r="H193" s="119">
        <f>+(1390000/30)*F193</f>
        <v>1390000</v>
      </c>
      <c r="I193" s="119">
        <f>+(((1390000*92%)+162000)/30)*F193</f>
        <v>1440800</v>
      </c>
      <c r="J193" s="119">
        <f t="shared" si="15"/>
        <v>0</v>
      </c>
      <c r="K193" s="119" t="s">
        <v>551</v>
      </c>
      <c r="L193" s="125" t="s">
        <v>341</v>
      </c>
      <c r="M193" s="123"/>
      <c r="N193" s="123"/>
      <c r="O193" s="123"/>
      <c r="P193" s="123"/>
    </row>
    <row r="194" spans="1:16" hidden="1">
      <c r="A194" s="159" t="s">
        <v>386</v>
      </c>
      <c r="B194" s="122" t="s">
        <v>373</v>
      </c>
      <c r="C194" s="115">
        <v>1126122552</v>
      </c>
      <c r="D194" s="123" t="s">
        <v>399</v>
      </c>
      <c r="E194" s="114">
        <v>45369</v>
      </c>
      <c r="F194" s="124">
        <v>30</v>
      </c>
      <c r="G194" s="119">
        <v>1440800</v>
      </c>
      <c r="H194" s="119">
        <f>+(1390000/30)*F194</f>
        <v>1390000</v>
      </c>
      <c r="I194" s="119">
        <f>+(((1390000*92%)+162000)/30)*F194</f>
        <v>1440800</v>
      </c>
      <c r="J194" s="119">
        <f t="shared" ref="J194:J197" si="16">+G194-I194</f>
        <v>0</v>
      </c>
      <c r="K194" s="119" t="s">
        <v>552</v>
      </c>
      <c r="L194" s="125" t="s">
        <v>341</v>
      </c>
      <c r="M194" s="123"/>
      <c r="N194" s="123"/>
      <c r="O194" s="123"/>
      <c r="P194" s="123"/>
    </row>
    <row r="195" spans="1:16" hidden="1">
      <c r="A195" s="122" t="s">
        <v>339</v>
      </c>
      <c r="B195" s="122" t="s">
        <v>17</v>
      </c>
      <c r="C195" s="115">
        <v>52776866</v>
      </c>
      <c r="D195" s="123" t="s">
        <v>372</v>
      </c>
      <c r="E195" s="114">
        <v>45369</v>
      </c>
      <c r="F195" s="124">
        <v>30</v>
      </c>
      <c r="G195" s="119">
        <v>1358000</v>
      </c>
      <c r="H195" s="119">
        <f>+(1300000/30)*F195</f>
        <v>1300000</v>
      </c>
      <c r="I195" s="119">
        <f>+(((1300000*92%)+162000)/30)*F195</f>
        <v>1358000</v>
      </c>
      <c r="J195" s="119">
        <f t="shared" si="16"/>
        <v>0</v>
      </c>
      <c r="K195" s="119" t="s">
        <v>552</v>
      </c>
      <c r="L195" s="125" t="s">
        <v>341</v>
      </c>
      <c r="M195" s="123"/>
      <c r="N195" s="123"/>
      <c r="O195" s="123"/>
      <c r="P195" s="123"/>
    </row>
    <row r="196" spans="1:16">
      <c r="A196" s="157" t="s">
        <v>328</v>
      </c>
      <c r="B196" s="129" t="s">
        <v>17</v>
      </c>
      <c r="C196" s="128">
        <v>52286356</v>
      </c>
      <c r="D196" s="129" t="s">
        <v>336</v>
      </c>
      <c r="E196" s="147">
        <v>45385</v>
      </c>
      <c r="F196" s="153">
        <v>28</v>
      </c>
      <c r="G196" s="118">
        <v>1267467</v>
      </c>
      <c r="H196" s="119">
        <f>+(1300000/30)*F196</f>
        <v>1213333.3333333335</v>
      </c>
      <c r="I196" s="119">
        <f>+(((1300000*92%)+162000)/30)*F196</f>
        <v>1267466.6666666665</v>
      </c>
      <c r="J196" s="119">
        <f t="shared" si="16"/>
        <v>0.33333333348855376</v>
      </c>
      <c r="K196" s="135" t="s">
        <v>557</v>
      </c>
      <c r="L196" s="136" t="s">
        <v>306</v>
      </c>
      <c r="M196" s="129"/>
      <c r="N196" s="129"/>
      <c r="O196" s="129"/>
      <c r="P196" s="123"/>
    </row>
    <row r="197" spans="1:16" hidden="1">
      <c r="A197" s="157" t="s">
        <v>262</v>
      </c>
      <c r="B197" s="127" t="s">
        <v>17</v>
      </c>
      <c r="C197" s="128">
        <v>39802794</v>
      </c>
      <c r="D197" s="129" t="s">
        <v>268</v>
      </c>
      <c r="E197" s="116">
        <v>45369</v>
      </c>
      <c r="F197" s="137">
        <v>30</v>
      </c>
      <c r="G197" s="119">
        <v>1358000</v>
      </c>
      <c r="H197" s="119">
        <f>+(1300000/30)*F197</f>
        <v>1300000</v>
      </c>
      <c r="I197" s="119">
        <f>+(((1300000*92%)+162000)/30)*F197</f>
        <v>1358000</v>
      </c>
      <c r="J197" s="119">
        <f t="shared" si="16"/>
        <v>0</v>
      </c>
      <c r="K197" s="119" t="s">
        <v>552</v>
      </c>
      <c r="L197" s="125" t="s">
        <v>259</v>
      </c>
      <c r="M197" s="123"/>
      <c r="N197" s="123"/>
      <c r="O197" s="123"/>
      <c r="P197" s="123"/>
    </row>
  </sheetData>
  <autoFilter ref="A1:P197">
    <filterColumn colId="5">
      <colorFilter dxfId="0"/>
    </filterColumn>
    <sortState ref="A2:P197">
      <sortCondition ref="D1:D197"/>
    </sortState>
  </autoFilter>
  <conditionalFormatting sqref="C1">
    <cfRule type="duplicateValues" dxfId="44" priority="37"/>
    <cfRule type="duplicateValues" dxfId="43" priority="38"/>
    <cfRule type="duplicateValues" dxfId="42" priority="39"/>
    <cfRule type="duplicateValues" dxfId="41" priority="40"/>
    <cfRule type="duplicateValues" dxfId="40" priority="41"/>
    <cfRule type="duplicateValues" dxfId="39" priority="42"/>
    <cfRule type="duplicateValues" dxfId="38" priority="43"/>
    <cfRule type="duplicateValues" dxfId="37" priority="44"/>
    <cfRule type="duplicateValues" dxfId="36" priority="45"/>
    <cfRule type="duplicateValues" dxfId="35" priority="46"/>
    <cfRule type="duplicateValues" dxfId="34" priority="47"/>
    <cfRule type="duplicateValues" dxfId="33" priority="48"/>
    <cfRule type="duplicateValues" dxfId="32" priority="49"/>
    <cfRule type="duplicateValues" dxfId="31" priority="50"/>
    <cfRule type="duplicateValues" dxfId="30" priority="51"/>
    <cfRule type="duplicateValues" dxfId="29" priority="52"/>
    <cfRule type="duplicateValues" dxfId="28" priority="53"/>
  </conditionalFormatting>
  <conditionalFormatting sqref="D4">
    <cfRule type="duplicateValues" dxfId="27" priority="55"/>
  </conditionalFormatting>
  <conditionalFormatting sqref="D10">
    <cfRule type="duplicateValues" dxfId="26" priority="54"/>
  </conditionalFormatting>
  <conditionalFormatting sqref="D97">
    <cfRule type="duplicateValues" dxfId="25" priority="30"/>
  </conditionalFormatting>
  <conditionalFormatting sqref="D103">
    <cfRule type="duplicateValues" dxfId="24" priority="29"/>
  </conditionalFormatting>
  <conditionalFormatting sqref="C119">
    <cfRule type="duplicateValues" dxfId="23" priority="17"/>
    <cfRule type="duplicateValues" dxfId="22" priority="18"/>
    <cfRule type="duplicateValues" dxfId="21" priority="19"/>
  </conditionalFormatting>
  <conditionalFormatting sqref="C117:C118">
    <cfRule type="duplicateValues" dxfId="20" priority="266"/>
    <cfRule type="duplicateValues" dxfId="19" priority="267"/>
    <cfRule type="duplicateValues" dxfId="18" priority="268"/>
    <cfRule type="duplicateValues" dxfId="17" priority="269"/>
    <cfRule type="duplicateValues" dxfId="16" priority="270"/>
    <cfRule type="duplicateValues" dxfId="15" priority="271"/>
  </conditionalFormatting>
  <conditionalFormatting sqref="C133:C167">
    <cfRule type="duplicateValues" dxfId="14" priority="428"/>
    <cfRule type="duplicateValues" dxfId="13" priority="429"/>
    <cfRule type="duplicateValues" dxfId="12" priority="430"/>
    <cfRule type="duplicateValues" dxfId="11" priority="431"/>
    <cfRule type="duplicateValues" dxfId="10" priority="432"/>
    <cfRule type="duplicateValues" dxfId="9" priority="433"/>
  </conditionalFormatting>
  <conditionalFormatting sqref="C36:C71">
    <cfRule type="duplicateValues" dxfId="8" priority="434"/>
    <cfRule type="duplicateValues" dxfId="7" priority="435"/>
    <cfRule type="duplicateValues" dxfId="6" priority="436"/>
    <cfRule type="duplicateValues" dxfId="5" priority="437"/>
    <cfRule type="duplicateValues" dxfId="4" priority="438"/>
    <cfRule type="duplicateValues" dxfId="3" priority="439"/>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331"/>
  <sheetViews>
    <sheetView workbookViewId="0">
      <selection activeCell="O5" sqref="O5"/>
    </sheetView>
  </sheetViews>
  <sheetFormatPr baseColWidth="10" defaultRowHeight="15"/>
  <cols>
    <col min="4" max="4" width="11.42578125" style="74" hidden="1" customWidth="1"/>
    <col min="5" max="5" width="22.28515625" style="74" customWidth="1"/>
    <col min="6" max="6" width="5.140625" customWidth="1"/>
    <col min="7" max="7" width="8.7109375" style="74" customWidth="1"/>
    <col min="8" max="9" width="11.5703125" style="81" hidden="1" customWidth="1"/>
    <col min="10" max="10" width="11.5703125" style="81" customWidth="1"/>
    <col min="11" max="11" width="12.140625" style="81" customWidth="1"/>
  </cols>
  <sheetData>
    <row r="1" spans="1:11" ht="45">
      <c r="C1" s="103" t="s">
        <v>131</v>
      </c>
      <c r="D1" s="103" t="s">
        <v>132</v>
      </c>
      <c r="E1" s="103" t="s">
        <v>133</v>
      </c>
      <c r="F1" s="103" t="s">
        <v>134</v>
      </c>
      <c r="G1" s="103" t="s">
        <v>449</v>
      </c>
      <c r="H1" s="103" t="s">
        <v>466</v>
      </c>
      <c r="I1" s="103" t="s">
        <v>468</v>
      </c>
      <c r="J1" s="103" t="s">
        <v>1393</v>
      </c>
      <c r="K1" s="103" t="s">
        <v>467</v>
      </c>
    </row>
    <row r="2" spans="1:11" ht="78.75">
      <c r="A2" s="225" t="s">
        <v>1515</v>
      </c>
      <c r="B2" s="234" t="s">
        <v>1516</v>
      </c>
      <c r="C2" s="100">
        <v>45371</v>
      </c>
      <c r="D2" s="106" t="s">
        <v>135</v>
      </c>
      <c r="E2" s="107" t="s">
        <v>136</v>
      </c>
      <c r="F2" s="39">
        <v>12</v>
      </c>
      <c r="G2" s="78" t="s">
        <v>464</v>
      </c>
      <c r="H2" s="79">
        <v>9943.5</v>
      </c>
      <c r="I2" s="79">
        <f>+H2/30</f>
        <v>331.45</v>
      </c>
      <c r="J2" s="79">
        <f>+I2*30</f>
        <v>9943.5</v>
      </c>
      <c r="K2" s="79">
        <f>+F2*J2</f>
        <v>119322</v>
      </c>
    </row>
    <row r="3" spans="1:11" ht="78.75">
      <c r="A3" s="225" t="s">
        <v>1515</v>
      </c>
      <c r="B3" s="234" t="s">
        <v>1516</v>
      </c>
      <c r="C3" s="100">
        <v>45371</v>
      </c>
      <c r="D3" s="106"/>
      <c r="E3" s="107" t="s">
        <v>137</v>
      </c>
      <c r="F3" s="39">
        <v>1</v>
      </c>
      <c r="G3" s="78" t="s">
        <v>464</v>
      </c>
      <c r="H3" s="79">
        <v>4357.5</v>
      </c>
      <c r="I3" s="79">
        <f t="shared" ref="I3:I66" si="0">+H3/30</f>
        <v>145.25</v>
      </c>
      <c r="J3" s="79">
        <f t="shared" ref="J3:J66" si="1">+I3*30</f>
        <v>4357.5</v>
      </c>
      <c r="K3" s="79">
        <f t="shared" ref="K3:K66" si="2">+F3*J3</f>
        <v>4357.5</v>
      </c>
    </row>
    <row r="4" spans="1:11" ht="78.75">
      <c r="A4" s="225" t="s">
        <v>1515</v>
      </c>
      <c r="B4" s="234" t="s">
        <v>1516</v>
      </c>
      <c r="C4" s="100">
        <v>45371</v>
      </c>
      <c r="D4" s="106"/>
      <c r="E4" s="107" t="s">
        <v>137</v>
      </c>
      <c r="F4" s="39">
        <v>1</v>
      </c>
      <c r="G4" s="78" t="s">
        <v>464</v>
      </c>
      <c r="H4" s="79">
        <v>4357.5</v>
      </c>
      <c r="I4" s="79">
        <f t="shared" si="0"/>
        <v>145.25</v>
      </c>
      <c r="J4" s="79">
        <f t="shared" si="1"/>
        <v>4357.5</v>
      </c>
      <c r="K4" s="79">
        <f t="shared" si="2"/>
        <v>4357.5</v>
      </c>
    </row>
    <row r="5" spans="1:11" ht="78.75">
      <c r="A5" s="225" t="s">
        <v>1515</v>
      </c>
      <c r="B5" s="234" t="s">
        <v>1516</v>
      </c>
      <c r="C5" s="100">
        <v>45371</v>
      </c>
      <c r="D5" s="106"/>
      <c r="E5" s="107" t="s">
        <v>137</v>
      </c>
      <c r="F5" s="39">
        <v>1</v>
      </c>
      <c r="G5" s="78" t="s">
        <v>464</v>
      </c>
      <c r="H5" s="79">
        <v>4357.5</v>
      </c>
      <c r="I5" s="79">
        <f t="shared" si="0"/>
        <v>145.25</v>
      </c>
      <c r="J5" s="79">
        <f t="shared" si="1"/>
        <v>4357.5</v>
      </c>
      <c r="K5" s="79">
        <f t="shared" si="2"/>
        <v>4357.5</v>
      </c>
    </row>
    <row r="6" spans="1:11" ht="78.75">
      <c r="A6" s="225" t="s">
        <v>1515</v>
      </c>
      <c r="B6" s="234" t="s">
        <v>1516</v>
      </c>
      <c r="C6" s="100">
        <v>45371</v>
      </c>
      <c r="D6" s="106"/>
      <c r="E6" s="107" t="s">
        <v>137</v>
      </c>
      <c r="F6" s="39">
        <v>1</v>
      </c>
      <c r="G6" s="78" t="s">
        <v>464</v>
      </c>
      <c r="H6" s="79">
        <v>4357.5</v>
      </c>
      <c r="I6" s="79">
        <f t="shared" si="0"/>
        <v>145.25</v>
      </c>
      <c r="J6" s="79">
        <f t="shared" si="1"/>
        <v>4357.5</v>
      </c>
      <c r="K6" s="79">
        <f t="shared" si="2"/>
        <v>4357.5</v>
      </c>
    </row>
    <row r="7" spans="1:11" ht="78.75">
      <c r="A7" s="225" t="s">
        <v>1515</v>
      </c>
      <c r="B7" s="234" t="s">
        <v>1516</v>
      </c>
      <c r="C7" s="100">
        <v>45371</v>
      </c>
      <c r="D7" s="106"/>
      <c r="E7" s="107" t="s">
        <v>138</v>
      </c>
      <c r="F7" s="39">
        <v>1</v>
      </c>
      <c r="G7" s="78" t="s">
        <v>464</v>
      </c>
      <c r="H7" s="79">
        <v>7204</v>
      </c>
      <c r="I7" s="79">
        <f t="shared" si="0"/>
        <v>240.13333333333333</v>
      </c>
      <c r="J7" s="79">
        <f t="shared" si="1"/>
        <v>7204</v>
      </c>
      <c r="K7" s="79">
        <f t="shared" si="2"/>
        <v>7204</v>
      </c>
    </row>
    <row r="8" spans="1:11" ht="78.75">
      <c r="A8" s="225" t="s">
        <v>1515</v>
      </c>
      <c r="B8" s="234" t="s">
        <v>1516</v>
      </c>
      <c r="C8" s="100">
        <v>45371</v>
      </c>
      <c r="D8" s="106"/>
      <c r="E8" s="107" t="s">
        <v>138</v>
      </c>
      <c r="F8" s="39">
        <v>1</v>
      </c>
      <c r="G8" s="78" t="s">
        <v>464</v>
      </c>
      <c r="H8" s="79">
        <v>7204</v>
      </c>
      <c r="I8" s="79">
        <f t="shared" si="0"/>
        <v>240.13333333333333</v>
      </c>
      <c r="J8" s="79">
        <f t="shared" si="1"/>
        <v>7204</v>
      </c>
      <c r="K8" s="79">
        <f t="shared" si="2"/>
        <v>7204</v>
      </c>
    </row>
    <row r="9" spans="1:11" ht="78.75">
      <c r="A9" s="225" t="s">
        <v>1515</v>
      </c>
      <c r="B9" s="234" t="s">
        <v>1516</v>
      </c>
      <c r="C9" s="100">
        <v>45371</v>
      </c>
      <c r="D9" s="106"/>
      <c r="E9" s="107" t="s">
        <v>138</v>
      </c>
      <c r="F9" s="39">
        <v>1</v>
      </c>
      <c r="G9" s="78" t="s">
        <v>464</v>
      </c>
      <c r="H9" s="79">
        <v>7204</v>
      </c>
      <c r="I9" s="79">
        <f t="shared" si="0"/>
        <v>240.13333333333333</v>
      </c>
      <c r="J9" s="79">
        <f t="shared" si="1"/>
        <v>7204</v>
      </c>
      <c r="K9" s="79">
        <f t="shared" si="2"/>
        <v>7204</v>
      </c>
    </row>
    <row r="10" spans="1:11" ht="78.75">
      <c r="A10" s="233" t="s">
        <v>1513</v>
      </c>
      <c r="B10" s="229" t="s">
        <v>1514</v>
      </c>
      <c r="C10" s="100">
        <v>45371</v>
      </c>
      <c r="D10" s="106" t="s">
        <v>139</v>
      </c>
      <c r="E10" s="107" t="s">
        <v>140</v>
      </c>
      <c r="F10" s="39">
        <v>1</v>
      </c>
      <c r="G10" s="78" t="s">
        <v>464</v>
      </c>
      <c r="H10" s="79">
        <v>17405.599999999999</v>
      </c>
      <c r="I10" s="79">
        <f t="shared" si="0"/>
        <v>580.18666666666661</v>
      </c>
      <c r="J10" s="79">
        <f t="shared" si="1"/>
        <v>17405.599999999999</v>
      </c>
      <c r="K10" s="79">
        <f t="shared" si="2"/>
        <v>17405.599999999999</v>
      </c>
    </row>
    <row r="11" spans="1:11" ht="78.75">
      <c r="A11" s="233" t="s">
        <v>1513</v>
      </c>
      <c r="B11" s="229" t="s">
        <v>1514</v>
      </c>
      <c r="C11" s="100">
        <v>45371</v>
      </c>
      <c r="D11" s="106" t="s">
        <v>141</v>
      </c>
      <c r="E11" s="107" t="s">
        <v>140</v>
      </c>
      <c r="F11" s="39">
        <v>1</v>
      </c>
      <c r="G11" s="78" t="s">
        <v>464</v>
      </c>
      <c r="H11" s="79">
        <v>17405.599999999999</v>
      </c>
      <c r="I11" s="79">
        <f t="shared" si="0"/>
        <v>580.18666666666661</v>
      </c>
      <c r="J11" s="79">
        <f t="shared" si="1"/>
        <v>17405.599999999999</v>
      </c>
      <c r="K11" s="79">
        <f t="shared" si="2"/>
        <v>17405.599999999999</v>
      </c>
    </row>
    <row r="12" spans="1:11" ht="78.75">
      <c r="A12" s="225" t="s">
        <v>1515</v>
      </c>
      <c r="B12" s="234" t="s">
        <v>1516</v>
      </c>
      <c r="C12" s="102">
        <v>45371</v>
      </c>
      <c r="D12" s="106" t="s">
        <v>142</v>
      </c>
      <c r="E12" s="107" t="s">
        <v>143</v>
      </c>
      <c r="F12" s="39">
        <v>1</v>
      </c>
      <c r="G12" s="78" t="s">
        <v>464</v>
      </c>
      <c r="H12" s="79">
        <v>55097.25</v>
      </c>
      <c r="I12" s="79">
        <f t="shared" si="0"/>
        <v>1836.575</v>
      </c>
      <c r="J12" s="79">
        <f t="shared" si="1"/>
        <v>55097.25</v>
      </c>
      <c r="K12" s="79">
        <f t="shared" si="2"/>
        <v>55097.25</v>
      </c>
    </row>
    <row r="13" spans="1:11" ht="78.75">
      <c r="A13" s="225" t="s">
        <v>1515</v>
      </c>
      <c r="B13" s="234" t="s">
        <v>1516</v>
      </c>
      <c r="C13" s="102">
        <v>45371</v>
      </c>
      <c r="D13" s="106" t="s">
        <v>144</v>
      </c>
      <c r="E13" s="107" t="s">
        <v>143</v>
      </c>
      <c r="F13" s="39">
        <v>1</v>
      </c>
      <c r="G13" s="78" t="s">
        <v>464</v>
      </c>
      <c r="H13" s="79">
        <v>55097.25</v>
      </c>
      <c r="I13" s="79">
        <f t="shared" si="0"/>
        <v>1836.575</v>
      </c>
      <c r="J13" s="79">
        <f t="shared" si="1"/>
        <v>55097.25</v>
      </c>
      <c r="K13" s="79">
        <f t="shared" si="2"/>
        <v>55097.25</v>
      </c>
    </row>
    <row r="14" spans="1:11" ht="78.75">
      <c r="A14" s="225" t="s">
        <v>1515</v>
      </c>
      <c r="B14" s="234" t="s">
        <v>1516</v>
      </c>
      <c r="C14" s="102">
        <v>45371</v>
      </c>
      <c r="D14" s="106" t="s">
        <v>145</v>
      </c>
      <c r="E14" s="107" t="s">
        <v>143</v>
      </c>
      <c r="F14" s="39">
        <v>1</v>
      </c>
      <c r="G14" s="78" t="s">
        <v>464</v>
      </c>
      <c r="H14" s="79">
        <v>55097.25</v>
      </c>
      <c r="I14" s="79">
        <f t="shared" si="0"/>
        <v>1836.575</v>
      </c>
      <c r="J14" s="79">
        <f t="shared" si="1"/>
        <v>55097.25</v>
      </c>
      <c r="K14" s="79">
        <f t="shared" si="2"/>
        <v>55097.25</v>
      </c>
    </row>
    <row r="15" spans="1:11" ht="78.75">
      <c r="A15" s="225" t="s">
        <v>1515</v>
      </c>
      <c r="B15" s="234" t="s">
        <v>1516</v>
      </c>
      <c r="C15" s="102">
        <v>45371</v>
      </c>
      <c r="D15" s="106" t="s">
        <v>146</v>
      </c>
      <c r="E15" s="195" t="s">
        <v>187</v>
      </c>
      <c r="F15" s="39">
        <v>1</v>
      </c>
      <c r="G15" s="78" t="s">
        <v>464</v>
      </c>
      <c r="H15" s="79">
        <v>87613.5</v>
      </c>
      <c r="I15" s="79">
        <f t="shared" si="0"/>
        <v>2920.45</v>
      </c>
      <c r="J15" s="79">
        <f t="shared" si="1"/>
        <v>87613.5</v>
      </c>
      <c r="K15" s="79">
        <f t="shared" si="2"/>
        <v>87613.5</v>
      </c>
    </row>
    <row r="16" spans="1:11" ht="78.75">
      <c r="A16" s="225" t="s">
        <v>1515</v>
      </c>
      <c r="B16" s="234" t="s">
        <v>1516</v>
      </c>
      <c r="C16" s="102">
        <v>45371</v>
      </c>
      <c r="D16" s="106" t="s">
        <v>147</v>
      </c>
      <c r="E16" s="195" t="s">
        <v>187</v>
      </c>
      <c r="F16" s="39">
        <v>1</v>
      </c>
      <c r="G16" s="78" t="s">
        <v>464</v>
      </c>
      <c r="H16" s="79">
        <v>87613.5</v>
      </c>
      <c r="I16" s="79">
        <f t="shared" si="0"/>
        <v>2920.45</v>
      </c>
      <c r="J16" s="79">
        <f t="shared" si="1"/>
        <v>87613.5</v>
      </c>
      <c r="K16" s="79">
        <f t="shared" si="2"/>
        <v>87613.5</v>
      </c>
    </row>
    <row r="17" spans="1:11" ht="78.75">
      <c r="A17" s="225" t="s">
        <v>1515</v>
      </c>
      <c r="B17" s="234" t="s">
        <v>1516</v>
      </c>
      <c r="C17" s="102">
        <v>45371</v>
      </c>
      <c r="D17" s="106" t="s">
        <v>148</v>
      </c>
      <c r="E17" s="195" t="s">
        <v>187</v>
      </c>
      <c r="F17" s="39">
        <v>1</v>
      </c>
      <c r="G17" s="78" t="s">
        <v>464</v>
      </c>
      <c r="H17" s="79">
        <v>87613.5</v>
      </c>
      <c r="I17" s="79">
        <f t="shared" si="0"/>
        <v>2920.45</v>
      </c>
      <c r="J17" s="79">
        <f t="shared" si="1"/>
        <v>87613.5</v>
      </c>
      <c r="K17" s="79">
        <f t="shared" si="2"/>
        <v>87613.5</v>
      </c>
    </row>
    <row r="18" spans="1:11" ht="78.75">
      <c r="A18" s="225" t="s">
        <v>1515</v>
      </c>
      <c r="B18" s="234" t="s">
        <v>1516</v>
      </c>
      <c r="C18" s="102">
        <v>45371</v>
      </c>
      <c r="D18" s="106" t="s">
        <v>149</v>
      </c>
      <c r="E18" s="107" t="s">
        <v>150</v>
      </c>
      <c r="F18" s="39">
        <v>1</v>
      </c>
      <c r="G18" s="78" t="s">
        <v>464</v>
      </c>
      <c r="H18" s="79">
        <v>49891.5</v>
      </c>
      <c r="I18" s="79">
        <f t="shared" si="0"/>
        <v>1663.05</v>
      </c>
      <c r="J18" s="79">
        <f t="shared" si="1"/>
        <v>49891.5</v>
      </c>
      <c r="K18" s="79">
        <f t="shared" si="2"/>
        <v>49891.5</v>
      </c>
    </row>
    <row r="19" spans="1:11" ht="78.75">
      <c r="A19" s="233" t="s">
        <v>1513</v>
      </c>
      <c r="B19" s="229" t="s">
        <v>1514</v>
      </c>
      <c r="C19" s="102">
        <v>45371</v>
      </c>
      <c r="D19" s="106" t="s">
        <v>151</v>
      </c>
      <c r="E19" s="107" t="s">
        <v>152</v>
      </c>
      <c r="F19" s="39">
        <v>1</v>
      </c>
      <c r="G19" s="78" t="s">
        <v>464</v>
      </c>
      <c r="H19" s="79">
        <v>31879.200000000001</v>
      </c>
      <c r="I19" s="79">
        <f t="shared" si="0"/>
        <v>1062.6400000000001</v>
      </c>
      <c r="J19" s="79">
        <f t="shared" si="1"/>
        <v>31879.200000000004</v>
      </c>
      <c r="K19" s="79">
        <f t="shared" si="2"/>
        <v>31879.200000000004</v>
      </c>
    </row>
    <row r="20" spans="1:11" ht="78.75">
      <c r="A20" s="233" t="s">
        <v>1513</v>
      </c>
      <c r="B20" s="229" t="s">
        <v>1514</v>
      </c>
      <c r="C20" s="102">
        <v>45371</v>
      </c>
      <c r="D20" s="106" t="s">
        <v>153</v>
      </c>
      <c r="E20" s="107" t="s">
        <v>160</v>
      </c>
      <c r="F20" s="39">
        <v>1</v>
      </c>
      <c r="G20" s="78" t="s">
        <v>464</v>
      </c>
      <c r="H20" s="79">
        <v>36131.199999999997</v>
      </c>
      <c r="I20" s="79">
        <f t="shared" si="0"/>
        <v>1204.3733333333332</v>
      </c>
      <c r="J20" s="79">
        <f t="shared" si="1"/>
        <v>36131.199999999997</v>
      </c>
      <c r="K20" s="79">
        <f t="shared" si="2"/>
        <v>36131.199999999997</v>
      </c>
    </row>
    <row r="21" spans="1:11" ht="78.75">
      <c r="A21" s="233" t="s">
        <v>1513</v>
      </c>
      <c r="B21" s="229" t="s">
        <v>1514</v>
      </c>
      <c r="C21" s="102">
        <v>45371</v>
      </c>
      <c r="D21" s="106" t="s">
        <v>135</v>
      </c>
      <c r="E21" s="107" t="s">
        <v>154</v>
      </c>
      <c r="F21" s="39">
        <v>10</v>
      </c>
      <c r="G21" s="78" t="s">
        <v>464</v>
      </c>
      <c r="H21" s="79">
        <v>536</v>
      </c>
      <c r="I21" s="79">
        <f t="shared" si="0"/>
        <v>17.866666666666667</v>
      </c>
      <c r="J21" s="79">
        <f t="shared" si="1"/>
        <v>536</v>
      </c>
      <c r="K21" s="79">
        <f t="shared" si="2"/>
        <v>5360</v>
      </c>
    </row>
    <row r="22" spans="1:11" ht="78.75">
      <c r="A22" s="233" t="s">
        <v>1513</v>
      </c>
      <c r="B22" s="229" t="s">
        <v>1514</v>
      </c>
      <c r="C22" s="102">
        <v>45371</v>
      </c>
      <c r="D22" s="106" t="s">
        <v>135</v>
      </c>
      <c r="E22" s="107" t="s">
        <v>155</v>
      </c>
      <c r="F22" s="39">
        <v>10</v>
      </c>
      <c r="G22" s="78" t="s">
        <v>464</v>
      </c>
      <c r="H22" s="79">
        <v>963.2</v>
      </c>
      <c r="I22" s="79">
        <f t="shared" si="0"/>
        <v>32.106666666666669</v>
      </c>
      <c r="J22" s="79">
        <f t="shared" si="1"/>
        <v>963.2</v>
      </c>
      <c r="K22" s="79">
        <f t="shared" si="2"/>
        <v>9632</v>
      </c>
    </row>
    <row r="23" spans="1:11" ht="78.75">
      <c r="A23" s="233" t="s">
        <v>1513</v>
      </c>
      <c r="B23" s="229" t="s">
        <v>1514</v>
      </c>
      <c r="C23" s="102">
        <v>45371</v>
      </c>
      <c r="D23" s="107"/>
      <c r="E23" s="107" t="s">
        <v>156</v>
      </c>
      <c r="F23" s="39">
        <v>1</v>
      </c>
      <c r="G23" s="78" t="s">
        <v>464</v>
      </c>
      <c r="H23" s="79">
        <v>19469.25</v>
      </c>
      <c r="I23" s="79">
        <f t="shared" si="0"/>
        <v>648.97500000000002</v>
      </c>
      <c r="J23" s="79">
        <f t="shared" si="1"/>
        <v>19469.25</v>
      </c>
      <c r="K23" s="79">
        <f t="shared" si="2"/>
        <v>19469.25</v>
      </c>
    </row>
    <row r="24" spans="1:11" ht="78.75">
      <c r="A24" s="233" t="s">
        <v>1513</v>
      </c>
      <c r="B24" s="229" t="s">
        <v>1514</v>
      </c>
      <c r="C24" s="102">
        <v>45371</v>
      </c>
      <c r="D24" s="107"/>
      <c r="E24" s="107" t="s">
        <v>156</v>
      </c>
      <c r="F24" s="39">
        <v>1</v>
      </c>
      <c r="G24" s="78" t="s">
        <v>464</v>
      </c>
      <c r="H24" s="79">
        <v>19469.25</v>
      </c>
      <c r="I24" s="79">
        <f t="shared" si="0"/>
        <v>648.97500000000002</v>
      </c>
      <c r="J24" s="79">
        <f t="shared" si="1"/>
        <v>19469.25</v>
      </c>
      <c r="K24" s="79">
        <f t="shared" si="2"/>
        <v>19469.25</v>
      </c>
    </row>
    <row r="25" spans="1:11" ht="78.75">
      <c r="A25" s="233" t="s">
        <v>1513</v>
      </c>
      <c r="B25" s="229" t="s">
        <v>1514</v>
      </c>
      <c r="C25" s="102">
        <v>45371</v>
      </c>
      <c r="D25" s="107"/>
      <c r="E25" s="107" t="s">
        <v>156</v>
      </c>
      <c r="F25" s="39">
        <v>1</v>
      </c>
      <c r="G25" s="78" t="s">
        <v>464</v>
      </c>
      <c r="H25" s="79">
        <v>19469.25</v>
      </c>
      <c r="I25" s="79">
        <f t="shared" si="0"/>
        <v>648.97500000000002</v>
      </c>
      <c r="J25" s="79">
        <f t="shared" si="1"/>
        <v>19469.25</v>
      </c>
      <c r="K25" s="79">
        <f t="shared" si="2"/>
        <v>19469.25</v>
      </c>
    </row>
    <row r="26" spans="1:11" ht="78.75">
      <c r="A26" s="233" t="s">
        <v>1513</v>
      </c>
      <c r="B26" s="229" t="s">
        <v>1514</v>
      </c>
      <c r="C26" s="102">
        <v>45371</v>
      </c>
      <c r="D26" s="107"/>
      <c r="E26" s="107" t="s">
        <v>156</v>
      </c>
      <c r="F26" s="39">
        <v>1</v>
      </c>
      <c r="G26" s="78" t="s">
        <v>464</v>
      </c>
      <c r="H26" s="79">
        <v>19469.25</v>
      </c>
      <c r="I26" s="79">
        <f t="shared" si="0"/>
        <v>648.97500000000002</v>
      </c>
      <c r="J26" s="79">
        <f t="shared" si="1"/>
        <v>19469.25</v>
      </c>
      <c r="K26" s="79">
        <f t="shared" si="2"/>
        <v>19469.25</v>
      </c>
    </row>
    <row r="27" spans="1:11" ht="78.75">
      <c r="A27" s="233" t="s">
        <v>1513</v>
      </c>
      <c r="B27" s="229" t="s">
        <v>1514</v>
      </c>
      <c r="C27" s="102">
        <v>45371</v>
      </c>
      <c r="D27" s="107"/>
      <c r="E27" s="107" t="s">
        <v>156</v>
      </c>
      <c r="F27" s="39">
        <v>1</v>
      </c>
      <c r="G27" s="78" t="s">
        <v>464</v>
      </c>
      <c r="H27" s="79">
        <v>19469.25</v>
      </c>
      <c r="I27" s="79">
        <f t="shared" si="0"/>
        <v>648.97500000000002</v>
      </c>
      <c r="J27" s="79">
        <f t="shared" si="1"/>
        <v>19469.25</v>
      </c>
      <c r="K27" s="79">
        <f t="shared" si="2"/>
        <v>19469.25</v>
      </c>
    </row>
    <row r="28" spans="1:11" ht="78.75">
      <c r="A28" s="233" t="s">
        <v>1513</v>
      </c>
      <c r="B28" s="229" t="s">
        <v>1514</v>
      </c>
      <c r="C28" s="102">
        <v>45371</v>
      </c>
      <c r="D28" s="107"/>
      <c r="E28" s="107" t="s">
        <v>156</v>
      </c>
      <c r="F28" s="39">
        <v>1</v>
      </c>
      <c r="G28" s="78" t="s">
        <v>464</v>
      </c>
      <c r="H28" s="79">
        <v>19469.25</v>
      </c>
      <c r="I28" s="79">
        <f t="shared" si="0"/>
        <v>648.97500000000002</v>
      </c>
      <c r="J28" s="79">
        <f t="shared" si="1"/>
        <v>19469.25</v>
      </c>
      <c r="K28" s="79">
        <f t="shared" si="2"/>
        <v>19469.25</v>
      </c>
    </row>
    <row r="29" spans="1:11" ht="78.75">
      <c r="A29" s="233" t="s">
        <v>1513</v>
      </c>
      <c r="B29" s="229" t="s">
        <v>1514</v>
      </c>
      <c r="C29" s="102">
        <v>45371</v>
      </c>
      <c r="D29" s="107"/>
      <c r="E29" s="107" t="s">
        <v>156</v>
      </c>
      <c r="F29" s="39">
        <v>1</v>
      </c>
      <c r="G29" s="78" t="s">
        <v>464</v>
      </c>
      <c r="H29" s="79">
        <v>19469.25</v>
      </c>
      <c r="I29" s="79">
        <f t="shared" si="0"/>
        <v>648.97500000000002</v>
      </c>
      <c r="J29" s="79">
        <f t="shared" si="1"/>
        <v>19469.25</v>
      </c>
      <c r="K29" s="79">
        <f t="shared" si="2"/>
        <v>19469.25</v>
      </c>
    </row>
    <row r="30" spans="1:11" ht="78.75">
      <c r="A30" s="233" t="s">
        <v>1513</v>
      </c>
      <c r="B30" s="229" t="s">
        <v>1514</v>
      </c>
      <c r="C30" s="102">
        <v>45371</v>
      </c>
      <c r="D30" s="107"/>
      <c r="E30" s="107" t="s">
        <v>156</v>
      </c>
      <c r="F30" s="39">
        <v>1</v>
      </c>
      <c r="G30" s="78" t="s">
        <v>464</v>
      </c>
      <c r="H30" s="79">
        <v>19469.25</v>
      </c>
      <c r="I30" s="79">
        <f t="shared" si="0"/>
        <v>648.97500000000002</v>
      </c>
      <c r="J30" s="79">
        <f t="shared" si="1"/>
        <v>19469.25</v>
      </c>
      <c r="K30" s="79">
        <f t="shared" si="2"/>
        <v>19469.25</v>
      </c>
    </row>
    <row r="31" spans="1:11" ht="78.75">
      <c r="A31" s="233" t="s">
        <v>1513</v>
      </c>
      <c r="B31" s="229" t="s">
        <v>1514</v>
      </c>
      <c r="C31" s="102">
        <v>45371</v>
      </c>
      <c r="D31" s="107"/>
      <c r="E31" s="107" t="s">
        <v>156</v>
      </c>
      <c r="F31" s="39">
        <v>1</v>
      </c>
      <c r="G31" s="78" t="s">
        <v>464</v>
      </c>
      <c r="H31" s="79">
        <v>19469.25</v>
      </c>
      <c r="I31" s="79">
        <f t="shared" si="0"/>
        <v>648.97500000000002</v>
      </c>
      <c r="J31" s="79">
        <f t="shared" si="1"/>
        <v>19469.25</v>
      </c>
      <c r="K31" s="79">
        <f t="shared" si="2"/>
        <v>19469.25</v>
      </c>
    </row>
    <row r="32" spans="1:11" ht="78.75">
      <c r="A32" s="233" t="s">
        <v>1513</v>
      </c>
      <c r="B32" s="229" t="s">
        <v>1514</v>
      </c>
      <c r="C32" s="102">
        <v>45371</v>
      </c>
      <c r="D32" s="107"/>
      <c r="E32" s="107" t="s">
        <v>156</v>
      </c>
      <c r="F32" s="39">
        <v>1</v>
      </c>
      <c r="G32" s="78" t="s">
        <v>464</v>
      </c>
      <c r="H32" s="79">
        <v>19469.25</v>
      </c>
      <c r="I32" s="79">
        <f t="shared" si="0"/>
        <v>648.97500000000002</v>
      </c>
      <c r="J32" s="79">
        <f t="shared" si="1"/>
        <v>19469.25</v>
      </c>
      <c r="K32" s="79">
        <f t="shared" si="2"/>
        <v>19469.25</v>
      </c>
    </row>
    <row r="33" spans="1:11" ht="78.75">
      <c r="A33" s="233" t="s">
        <v>1513</v>
      </c>
      <c r="B33" s="229" t="s">
        <v>1514</v>
      </c>
      <c r="C33" s="102">
        <v>45371</v>
      </c>
      <c r="D33" s="107"/>
      <c r="E33" s="107" t="s">
        <v>156</v>
      </c>
      <c r="F33" s="39">
        <v>1</v>
      </c>
      <c r="G33" s="78" t="s">
        <v>464</v>
      </c>
      <c r="H33" s="79">
        <v>19469.25</v>
      </c>
      <c r="I33" s="79">
        <f t="shared" si="0"/>
        <v>648.97500000000002</v>
      </c>
      <c r="J33" s="79">
        <f t="shared" si="1"/>
        <v>19469.25</v>
      </c>
      <c r="K33" s="79">
        <f t="shared" si="2"/>
        <v>19469.25</v>
      </c>
    </row>
    <row r="34" spans="1:11" ht="78.75">
      <c r="A34" s="233" t="s">
        <v>1513</v>
      </c>
      <c r="B34" s="229" t="s">
        <v>1514</v>
      </c>
      <c r="C34" s="102">
        <v>45371</v>
      </c>
      <c r="D34" s="107"/>
      <c r="E34" s="107" t="s">
        <v>156</v>
      </c>
      <c r="F34" s="39">
        <v>1</v>
      </c>
      <c r="G34" s="78" t="s">
        <v>464</v>
      </c>
      <c r="H34" s="79">
        <v>19469.25</v>
      </c>
      <c r="I34" s="79">
        <f t="shared" si="0"/>
        <v>648.97500000000002</v>
      </c>
      <c r="J34" s="79">
        <f t="shared" si="1"/>
        <v>19469.25</v>
      </c>
      <c r="K34" s="79">
        <f t="shared" si="2"/>
        <v>19469.25</v>
      </c>
    </row>
    <row r="35" spans="1:11" ht="78.75">
      <c r="A35" s="233" t="s">
        <v>1513</v>
      </c>
      <c r="B35" s="229" t="s">
        <v>1514</v>
      </c>
      <c r="C35" s="102">
        <v>45371</v>
      </c>
      <c r="D35" s="107"/>
      <c r="E35" s="107" t="s">
        <v>156</v>
      </c>
      <c r="F35" s="39">
        <v>1</v>
      </c>
      <c r="G35" s="78" t="s">
        <v>464</v>
      </c>
      <c r="H35" s="79">
        <v>19469.25</v>
      </c>
      <c r="I35" s="79">
        <f t="shared" si="0"/>
        <v>648.97500000000002</v>
      </c>
      <c r="J35" s="79">
        <f t="shared" si="1"/>
        <v>19469.25</v>
      </c>
      <c r="K35" s="79">
        <f t="shared" si="2"/>
        <v>19469.25</v>
      </c>
    </row>
    <row r="36" spans="1:11" ht="78.75">
      <c r="A36" s="233" t="s">
        <v>1513</v>
      </c>
      <c r="B36" s="229" t="s">
        <v>1514</v>
      </c>
      <c r="C36" s="102">
        <v>45371</v>
      </c>
      <c r="D36" s="107"/>
      <c r="E36" s="107" t="s">
        <v>156</v>
      </c>
      <c r="F36" s="39">
        <v>1</v>
      </c>
      <c r="G36" s="78" t="s">
        <v>464</v>
      </c>
      <c r="H36" s="79">
        <v>19469.25</v>
      </c>
      <c r="I36" s="79">
        <f t="shared" si="0"/>
        <v>648.97500000000002</v>
      </c>
      <c r="J36" s="79">
        <f t="shared" si="1"/>
        <v>19469.25</v>
      </c>
      <c r="K36" s="79">
        <f t="shared" si="2"/>
        <v>19469.25</v>
      </c>
    </row>
    <row r="37" spans="1:11" ht="78.75">
      <c r="A37" s="233" t="s">
        <v>1513</v>
      </c>
      <c r="B37" s="229" t="s">
        <v>1514</v>
      </c>
      <c r="C37" s="102">
        <v>45371</v>
      </c>
      <c r="D37" s="107"/>
      <c r="E37" s="107" t="s">
        <v>156</v>
      </c>
      <c r="F37" s="39">
        <v>1</v>
      </c>
      <c r="G37" s="78" t="s">
        <v>464</v>
      </c>
      <c r="H37" s="79">
        <v>19469.25</v>
      </c>
      <c r="I37" s="79">
        <f t="shared" si="0"/>
        <v>648.97500000000002</v>
      </c>
      <c r="J37" s="79">
        <f t="shared" si="1"/>
        <v>19469.25</v>
      </c>
      <c r="K37" s="79">
        <f t="shared" si="2"/>
        <v>19469.25</v>
      </c>
    </row>
    <row r="38" spans="1:11" ht="78.75">
      <c r="A38" s="233" t="s">
        <v>1513</v>
      </c>
      <c r="B38" s="229" t="s">
        <v>1514</v>
      </c>
      <c r="C38" s="102">
        <v>45371</v>
      </c>
      <c r="D38" s="107"/>
      <c r="E38" s="107" t="s">
        <v>156</v>
      </c>
      <c r="F38" s="39">
        <v>1</v>
      </c>
      <c r="G38" s="78" t="s">
        <v>464</v>
      </c>
      <c r="H38" s="79">
        <v>19469.25</v>
      </c>
      <c r="I38" s="79">
        <f t="shared" si="0"/>
        <v>648.97500000000002</v>
      </c>
      <c r="J38" s="79">
        <f t="shared" si="1"/>
        <v>19469.25</v>
      </c>
      <c r="K38" s="79">
        <f t="shared" si="2"/>
        <v>19469.25</v>
      </c>
    </row>
    <row r="39" spans="1:11" ht="78.75">
      <c r="A39" s="233" t="s">
        <v>1513</v>
      </c>
      <c r="B39" s="229" t="s">
        <v>1514</v>
      </c>
      <c r="C39" s="102">
        <v>45371</v>
      </c>
      <c r="D39" s="107"/>
      <c r="E39" s="107" t="s">
        <v>156</v>
      </c>
      <c r="F39" s="39">
        <v>1</v>
      </c>
      <c r="G39" s="78" t="s">
        <v>464</v>
      </c>
      <c r="H39" s="79">
        <v>19469.25</v>
      </c>
      <c r="I39" s="79">
        <f t="shared" si="0"/>
        <v>648.97500000000002</v>
      </c>
      <c r="J39" s="79">
        <f t="shared" si="1"/>
        <v>19469.25</v>
      </c>
      <c r="K39" s="79">
        <f t="shared" si="2"/>
        <v>19469.25</v>
      </c>
    </row>
    <row r="40" spans="1:11" ht="78.75">
      <c r="A40" s="233" t="s">
        <v>1513</v>
      </c>
      <c r="B40" s="229" t="s">
        <v>1514</v>
      </c>
      <c r="C40" s="102">
        <v>45371</v>
      </c>
      <c r="D40" s="107"/>
      <c r="E40" s="107" t="s">
        <v>156</v>
      </c>
      <c r="F40" s="39">
        <v>1</v>
      </c>
      <c r="G40" s="78" t="s">
        <v>464</v>
      </c>
      <c r="H40" s="79">
        <v>19469.25</v>
      </c>
      <c r="I40" s="79">
        <f t="shared" si="0"/>
        <v>648.97500000000002</v>
      </c>
      <c r="J40" s="79">
        <f t="shared" si="1"/>
        <v>19469.25</v>
      </c>
      <c r="K40" s="79">
        <f t="shared" si="2"/>
        <v>19469.25</v>
      </c>
    </row>
    <row r="41" spans="1:11" ht="78.75">
      <c r="A41" s="225" t="s">
        <v>1515</v>
      </c>
      <c r="B41" s="234" t="s">
        <v>1516</v>
      </c>
      <c r="C41" s="100">
        <v>45372</v>
      </c>
      <c r="D41" s="106" t="s">
        <v>135</v>
      </c>
      <c r="E41" s="107" t="s">
        <v>136</v>
      </c>
      <c r="F41" s="39">
        <v>5</v>
      </c>
      <c r="G41" s="78" t="s">
        <v>465</v>
      </c>
      <c r="H41" s="79">
        <v>9943.5</v>
      </c>
      <c r="I41" s="79">
        <f t="shared" si="0"/>
        <v>331.45</v>
      </c>
      <c r="J41" s="79">
        <f t="shared" si="1"/>
        <v>9943.5</v>
      </c>
      <c r="K41" s="79">
        <f>+F41*J41</f>
        <v>49717.5</v>
      </c>
    </row>
    <row r="42" spans="1:11" ht="78.75">
      <c r="A42" s="225" t="s">
        <v>1515</v>
      </c>
      <c r="B42" s="234" t="s">
        <v>1516</v>
      </c>
      <c r="C42" s="100">
        <v>45372</v>
      </c>
      <c r="D42" s="106" t="s">
        <v>135</v>
      </c>
      <c r="E42" s="107" t="s">
        <v>138</v>
      </c>
      <c r="F42" s="39">
        <v>2</v>
      </c>
      <c r="G42" s="78" t="s">
        <v>465</v>
      </c>
      <c r="H42" s="79">
        <v>7204</v>
      </c>
      <c r="I42" s="79">
        <f t="shared" si="0"/>
        <v>240.13333333333333</v>
      </c>
      <c r="J42" s="79">
        <f t="shared" si="1"/>
        <v>7204</v>
      </c>
      <c r="K42" s="79">
        <f t="shared" si="2"/>
        <v>14408</v>
      </c>
    </row>
    <row r="43" spans="1:11" ht="78.75">
      <c r="A43" s="233" t="s">
        <v>1513</v>
      </c>
      <c r="B43" s="229" t="s">
        <v>1514</v>
      </c>
      <c r="C43" s="100">
        <v>45372</v>
      </c>
      <c r="D43" s="106" t="s">
        <v>135</v>
      </c>
      <c r="E43" s="107" t="s">
        <v>157</v>
      </c>
      <c r="F43" s="39">
        <v>4</v>
      </c>
      <c r="G43" s="78" t="s">
        <v>465</v>
      </c>
      <c r="H43" s="79">
        <v>20188.5</v>
      </c>
      <c r="I43" s="79">
        <f t="shared" si="0"/>
        <v>672.95</v>
      </c>
      <c r="J43" s="79">
        <f t="shared" si="1"/>
        <v>20188.5</v>
      </c>
      <c r="K43" s="79">
        <f t="shared" si="2"/>
        <v>80754</v>
      </c>
    </row>
    <row r="44" spans="1:11" ht="78.75">
      <c r="A44" s="233" t="s">
        <v>1513</v>
      </c>
      <c r="B44" s="229" t="s">
        <v>1514</v>
      </c>
      <c r="C44" s="100">
        <v>45372</v>
      </c>
      <c r="D44" s="106" t="s">
        <v>135</v>
      </c>
      <c r="E44" s="107" t="s">
        <v>166</v>
      </c>
      <c r="F44" s="39">
        <v>6</v>
      </c>
      <c r="G44" s="78" t="s">
        <v>465</v>
      </c>
      <c r="H44" s="79">
        <v>2753.6</v>
      </c>
      <c r="I44" s="79">
        <f t="shared" si="0"/>
        <v>91.786666666666662</v>
      </c>
      <c r="J44" s="79">
        <f t="shared" si="1"/>
        <v>2753.6</v>
      </c>
      <c r="K44" s="79">
        <f t="shared" si="2"/>
        <v>16521.599999999999</v>
      </c>
    </row>
    <row r="45" spans="1:11" ht="78.75">
      <c r="A45" s="225" t="s">
        <v>1515</v>
      </c>
      <c r="B45" s="234" t="s">
        <v>1516</v>
      </c>
      <c r="C45" s="100">
        <v>45372</v>
      </c>
      <c r="D45" s="106" t="s">
        <v>158</v>
      </c>
      <c r="E45" s="107" t="s">
        <v>150</v>
      </c>
      <c r="F45" s="39">
        <v>1</v>
      </c>
      <c r="G45" s="78" t="s">
        <v>465</v>
      </c>
      <c r="H45" s="79">
        <v>49891.5</v>
      </c>
      <c r="I45" s="79">
        <f t="shared" si="0"/>
        <v>1663.05</v>
      </c>
      <c r="J45" s="79">
        <f t="shared" si="1"/>
        <v>49891.5</v>
      </c>
      <c r="K45" s="79">
        <f t="shared" si="2"/>
        <v>49891.5</v>
      </c>
    </row>
    <row r="46" spans="1:11" ht="78.75">
      <c r="A46" s="233" t="s">
        <v>1513</v>
      </c>
      <c r="B46" s="229" t="s">
        <v>1514</v>
      </c>
      <c r="C46" s="100">
        <v>45372</v>
      </c>
      <c r="D46" s="106" t="s">
        <v>159</v>
      </c>
      <c r="E46" s="107" t="s">
        <v>160</v>
      </c>
      <c r="F46" s="39">
        <v>1</v>
      </c>
      <c r="G46" s="78" t="s">
        <v>465</v>
      </c>
      <c r="H46" s="79">
        <v>36131.199999999997</v>
      </c>
      <c r="I46" s="79">
        <f t="shared" si="0"/>
        <v>1204.3733333333332</v>
      </c>
      <c r="J46" s="79">
        <f t="shared" si="1"/>
        <v>36131.199999999997</v>
      </c>
      <c r="K46" s="79">
        <f t="shared" si="2"/>
        <v>36131.199999999997</v>
      </c>
    </row>
    <row r="47" spans="1:11" ht="78.75">
      <c r="A47" s="233" t="s">
        <v>1513</v>
      </c>
      <c r="B47" s="229" t="s">
        <v>1514</v>
      </c>
      <c r="C47" s="100">
        <v>45372</v>
      </c>
      <c r="D47" s="106" t="s">
        <v>135</v>
      </c>
      <c r="E47" s="107" t="s">
        <v>155</v>
      </c>
      <c r="F47" s="39">
        <v>1</v>
      </c>
      <c r="G47" s="78" t="s">
        <v>465</v>
      </c>
      <c r="H47" s="79">
        <v>963.2</v>
      </c>
      <c r="I47" s="79">
        <f t="shared" si="0"/>
        <v>32.106666666666669</v>
      </c>
      <c r="J47" s="79">
        <f t="shared" si="1"/>
        <v>963.2</v>
      </c>
      <c r="K47" s="79">
        <f t="shared" si="2"/>
        <v>963.2</v>
      </c>
    </row>
    <row r="48" spans="1:11" ht="78.75">
      <c r="A48" s="233" t="s">
        <v>1513</v>
      </c>
      <c r="B48" s="229" t="s">
        <v>1514</v>
      </c>
      <c r="C48" s="100">
        <v>45372</v>
      </c>
      <c r="D48" s="106"/>
      <c r="E48" s="107" t="s">
        <v>156</v>
      </c>
      <c r="F48" s="39">
        <v>1</v>
      </c>
      <c r="G48" s="78" t="s">
        <v>465</v>
      </c>
      <c r="H48" s="79">
        <v>19469.25</v>
      </c>
      <c r="I48" s="79">
        <f t="shared" si="0"/>
        <v>648.97500000000002</v>
      </c>
      <c r="J48" s="79">
        <f t="shared" si="1"/>
        <v>19469.25</v>
      </c>
      <c r="K48" s="79">
        <f t="shared" si="2"/>
        <v>19469.25</v>
      </c>
    </row>
    <row r="49" spans="1:11" ht="78.75">
      <c r="A49" s="233" t="s">
        <v>1513</v>
      </c>
      <c r="B49" s="229" t="s">
        <v>1514</v>
      </c>
      <c r="C49" s="100">
        <v>45372</v>
      </c>
      <c r="D49" s="106"/>
      <c r="E49" s="107" t="s">
        <v>156</v>
      </c>
      <c r="F49" s="39">
        <v>1</v>
      </c>
      <c r="G49" s="78" t="s">
        <v>465</v>
      </c>
      <c r="H49" s="79">
        <v>19469.25</v>
      </c>
      <c r="I49" s="79">
        <f t="shared" si="0"/>
        <v>648.97500000000002</v>
      </c>
      <c r="J49" s="79">
        <f t="shared" si="1"/>
        <v>19469.25</v>
      </c>
      <c r="K49" s="79">
        <f t="shared" si="2"/>
        <v>19469.25</v>
      </c>
    </row>
    <row r="50" spans="1:11" ht="78.75">
      <c r="A50" s="233" t="s">
        <v>1513</v>
      </c>
      <c r="B50" s="229" t="s">
        <v>1514</v>
      </c>
      <c r="C50" s="100">
        <v>45372</v>
      </c>
      <c r="D50" s="106"/>
      <c r="E50" s="107" t="s">
        <v>156</v>
      </c>
      <c r="F50" s="39">
        <v>1</v>
      </c>
      <c r="G50" s="78" t="s">
        <v>465</v>
      </c>
      <c r="H50" s="79">
        <v>19469.25</v>
      </c>
      <c r="I50" s="79">
        <f t="shared" si="0"/>
        <v>648.97500000000002</v>
      </c>
      <c r="J50" s="79">
        <f t="shared" si="1"/>
        <v>19469.25</v>
      </c>
      <c r="K50" s="79">
        <f t="shared" si="2"/>
        <v>19469.25</v>
      </c>
    </row>
    <row r="51" spans="1:11" ht="78.75">
      <c r="A51" s="233" t="s">
        <v>1513</v>
      </c>
      <c r="B51" s="229" t="s">
        <v>1514</v>
      </c>
      <c r="C51" s="102">
        <v>45372</v>
      </c>
      <c r="D51" s="106"/>
      <c r="E51" s="107" t="s">
        <v>156</v>
      </c>
      <c r="F51" s="39">
        <v>1</v>
      </c>
      <c r="G51" s="78" t="s">
        <v>465</v>
      </c>
      <c r="H51" s="79">
        <v>19469.25</v>
      </c>
      <c r="I51" s="79">
        <f t="shared" si="0"/>
        <v>648.97500000000002</v>
      </c>
      <c r="J51" s="79">
        <f t="shared" si="1"/>
        <v>19469.25</v>
      </c>
      <c r="K51" s="79">
        <f t="shared" si="2"/>
        <v>19469.25</v>
      </c>
    </row>
    <row r="52" spans="1:11" ht="78.75">
      <c r="A52" s="233" t="s">
        <v>1513</v>
      </c>
      <c r="B52" s="229" t="s">
        <v>1514</v>
      </c>
      <c r="C52" s="102">
        <v>45372</v>
      </c>
      <c r="D52" s="106"/>
      <c r="E52" s="107" t="s">
        <v>156</v>
      </c>
      <c r="F52" s="39">
        <v>1</v>
      </c>
      <c r="G52" s="78" t="s">
        <v>465</v>
      </c>
      <c r="H52" s="79">
        <v>19469.25</v>
      </c>
      <c r="I52" s="79">
        <f t="shared" si="0"/>
        <v>648.97500000000002</v>
      </c>
      <c r="J52" s="79">
        <f t="shared" si="1"/>
        <v>19469.25</v>
      </c>
      <c r="K52" s="79">
        <f t="shared" si="2"/>
        <v>19469.25</v>
      </c>
    </row>
    <row r="53" spans="1:11" ht="78.75">
      <c r="A53" s="233" t="s">
        <v>1513</v>
      </c>
      <c r="B53" s="229" t="s">
        <v>1514</v>
      </c>
      <c r="C53" s="102">
        <v>45372</v>
      </c>
      <c r="D53" s="106"/>
      <c r="E53" s="107" t="s">
        <v>156</v>
      </c>
      <c r="F53" s="39">
        <v>1</v>
      </c>
      <c r="G53" s="78" t="s">
        <v>465</v>
      </c>
      <c r="H53" s="79">
        <v>19469.25</v>
      </c>
      <c r="I53" s="79">
        <f t="shared" si="0"/>
        <v>648.97500000000002</v>
      </c>
      <c r="J53" s="79">
        <f t="shared" si="1"/>
        <v>19469.25</v>
      </c>
      <c r="K53" s="79">
        <f t="shared" si="2"/>
        <v>19469.25</v>
      </c>
    </row>
    <row r="54" spans="1:11" ht="78.75">
      <c r="A54" s="225" t="s">
        <v>1515</v>
      </c>
      <c r="B54" s="234" t="s">
        <v>1516</v>
      </c>
      <c r="C54" s="100">
        <v>45372</v>
      </c>
      <c r="D54" s="106" t="s">
        <v>135</v>
      </c>
      <c r="E54" s="107" t="s">
        <v>136</v>
      </c>
      <c r="F54" s="39">
        <v>3</v>
      </c>
      <c r="G54" s="196" t="s">
        <v>1387</v>
      </c>
      <c r="H54" s="79">
        <v>9943.5</v>
      </c>
      <c r="I54" s="79">
        <f t="shared" si="0"/>
        <v>331.45</v>
      </c>
      <c r="J54" s="79">
        <f t="shared" si="1"/>
        <v>9943.5</v>
      </c>
      <c r="K54" s="79">
        <f>+F54*J54</f>
        <v>29830.5</v>
      </c>
    </row>
    <row r="55" spans="1:11" ht="78.75">
      <c r="A55" s="225" t="s">
        <v>1515</v>
      </c>
      <c r="B55" s="234" t="s">
        <v>1516</v>
      </c>
      <c r="C55" s="100">
        <v>45372</v>
      </c>
      <c r="D55" s="106" t="s">
        <v>135</v>
      </c>
      <c r="E55" s="107" t="s">
        <v>138</v>
      </c>
      <c r="F55" s="39">
        <v>1</v>
      </c>
      <c r="G55" s="78" t="s">
        <v>459</v>
      </c>
      <c r="H55" s="79">
        <v>7204</v>
      </c>
      <c r="I55" s="79">
        <f t="shared" si="0"/>
        <v>240.13333333333333</v>
      </c>
      <c r="J55" s="79">
        <f t="shared" si="1"/>
        <v>7204</v>
      </c>
      <c r="K55" s="79">
        <f t="shared" si="2"/>
        <v>7204</v>
      </c>
    </row>
    <row r="56" spans="1:11" ht="78.75">
      <c r="A56" s="233" t="s">
        <v>1513</v>
      </c>
      <c r="B56" s="229" t="s">
        <v>1514</v>
      </c>
      <c r="C56" s="100">
        <v>45372</v>
      </c>
      <c r="D56" s="106" t="s">
        <v>135</v>
      </c>
      <c r="E56" s="107" t="s">
        <v>157</v>
      </c>
      <c r="F56" s="39">
        <v>5</v>
      </c>
      <c r="G56" s="78" t="s">
        <v>459</v>
      </c>
      <c r="H56" s="79">
        <v>20188.5</v>
      </c>
      <c r="I56" s="79">
        <f t="shared" si="0"/>
        <v>672.95</v>
      </c>
      <c r="J56" s="79">
        <f t="shared" si="1"/>
        <v>20188.5</v>
      </c>
      <c r="K56" s="79">
        <f t="shared" si="2"/>
        <v>100942.5</v>
      </c>
    </row>
    <row r="57" spans="1:11" ht="78.75">
      <c r="A57" s="233" t="s">
        <v>1513</v>
      </c>
      <c r="B57" s="229" t="s">
        <v>1514</v>
      </c>
      <c r="C57" s="100">
        <v>45372</v>
      </c>
      <c r="D57" s="106" t="s">
        <v>135</v>
      </c>
      <c r="E57" s="107" t="s">
        <v>166</v>
      </c>
      <c r="F57" s="39">
        <v>3</v>
      </c>
      <c r="G57" s="78" t="s">
        <v>459</v>
      </c>
      <c r="H57" s="79">
        <v>2753.6</v>
      </c>
      <c r="I57" s="79">
        <f t="shared" si="0"/>
        <v>91.786666666666662</v>
      </c>
      <c r="J57" s="79">
        <f t="shared" si="1"/>
        <v>2753.6</v>
      </c>
      <c r="K57" s="79">
        <f t="shared" si="2"/>
        <v>8260.7999999999993</v>
      </c>
    </row>
    <row r="58" spans="1:11" ht="78.75">
      <c r="A58" s="225" t="s">
        <v>1515</v>
      </c>
      <c r="B58" s="234" t="s">
        <v>1516</v>
      </c>
      <c r="C58" s="100">
        <v>45372</v>
      </c>
      <c r="D58" s="106" t="s">
        <v>161</v>
      </c>
      <c r="E58" s="107" t="s">
        <v>143</v>
      </c>
      <c r="F58" s="39">
        <v>1</v>
      </c>
      <c r="G58" s="78" t="s">
        <v>459</v>
      </c>
      <c r="H58" s="79">
        <v>55097.25</v>
      </c>
      <c r="I58" s="79">
        <f t="shared" si="0"/>
        <v>1836.575</v>
      </c>
      <c r="J58" s="79">
        <f t="shared" si="1"/>
        <v>55097.25</v>
      </c>
      <c r="K58" s="79">
        <f t="shared" si="2"/>
        <v>55097.25</v>
      </c>
    </row>
    <row r="59" spans="1:11" ht="78.75">
      <c r="A59" s="225" t="s">
        <v>1515</v>
      </c>
      <c r="B59" s="234" t="s">
        <v>1516</v>
      </c>
      <c r="C59" s="100">
        <v>45372</v>
      </c>
      <c r="D59" s="106" t="s">
        <v>162</v>
      </c>
      <c r="E59" s="107" t="s">
        <v>143</v>
      </c>
      <c r="F59" s="39">
        <v>1</v>
      </c>
      <c r="G59" s="78" t="s">
        <v>459</v>
      </c>
      <c r="H59" s="79">
        <v>55097.25</v>
      </c>
      <c r="I59" s="79">
        <f t="shared" si="0"/>
        <v>1836.575</v>
      </c>
      <c r="J59" s="79">
        <f t="shared" si="1"/>
        <v>55097.25</v>
      </c>
      <c r="K59" s="79">
        <f t="shared" si="2"/>
        <v>55097.25</v>
      </c>
    </row>
    <row r="60" spans="1:11" ht="78.75">
      <c r="A60" s="233" t="s">
        <v>1513</v>
      </c>
      <c r="B60" s="229" t="s">
        <v>1514</v>
      </c>
      <c r="C60" s="100">
        <v>45372</v>
      </c>
      <c r="D60" s="106" t="s">
        <v>163</v>
      </c>
      <c r="E60" s="107" t="s">
        <v>152</v>
      </c>
      <c r="F60" s="39">
        <v>1</v>
      </c>
      <c r="G60" s="78" t="s">
        <v>459</v>
      </c>
      <c r="H60" s="79">
        <v>31879.200000000001</v>
      </c>
      <c r="I60" s="79">
        <f t="shared" si="0"/>
        <v>1062.6400000000001</v>
      </c>
      <c r="J60" s="79">
        <f t="shared" si="1"/>
        <v>31879.200000000004</v>
      </c>
      <c r="K60" s="79">
        <f t="shared" si="2"/>
        <v>31879.200000000004</v>
      </c>
    </row>
    <row r="61" spans="1:11" ht="78.75">
      <c r="A61" s="233" t="s">
        <v>1513</v>
      </c>
      <c r="B61" s="229" t="s">
        <v>1514</v>
      </c>
      <c r="C61" s="100">
        <v>45372</v>
      </c>
      <c r="D61" s="106" t="s">
        <v>135</v>
      </c>
      <c r="E61" s="107" t="s">
        <v>155</v>
      </c>
      <c r="F61" s="39">
        <v>1</v>
      </c>
      <c r="G61" s="78" t="s">
        <v>459</v>
      </c>
      <c r="H61" s="79">
        <v>963.2</v>
      </c>
      <c r="I61" s="79">
        <f t="shared" si="0"/>
        <v>32.106666666666669</v>
      </c>
      <c r="J61" s="79">
        <f t="shared" si="1"/>
        <v>963.2</v>
      </c>
      <c r="K61" s="79">
        <f t="shared" si="2"/>
        <v>963.2</v>
      </c>
    </row>
    <row r="62" spans="1:11" ht="78.75">
      <c r="A62" s="233" t="s">
        <v>1513</v>
      </c>
      <c r="B62" s="229" t="s">
        <v>1514</v>
      </c>
      <c r="C62" s="100">
        <v>45372</v>
      </c>
      <c r="D62" s="106" t="s">
        <v>164</v>
      </c>
      <c r="E62" s="107" t="s">
        <v>160</v>
      </c>
      <c r="F62" s="39">
        <v>1</v>
      </c>
      <c r="G62" s="78" t="s">
        <v>459</v>
      </c>
      <c r="H62" s="79">
        <v>36131.199999999997</v>
      </c>
      <c r="I62" s="79">
        <f t="shared" si="0"/>
        <v>1204.3733333333332</v>
      </c>
      <c r="J62" s="79">
        <f t="shared" si="1"/>
        <v>36131.199999999997</v>
      </c>
      <c r="K62" s="79">
        <f t="shared" si="2"/>
        <v>36131.199999999997</v>
      </c>
    </row>
    <row r="63" spans="1:11" ht="78.75">
      <c r="A63" s="233" t="s">
        <v>1513</v>
      </c>
      <c r="B63" s="229" t="s">
        <v>1514</v>
      </c>
      <c r="C63" s="102">
        <v>45372</v>
      </c>
      <c r="D63" s="106"/>
      <c r="E63" s="107" t="s">
        <v>156</v>
      </c>
      <c r="F63" s="39">
        <v>1</v>
      </c>
      <c r="G63" s="78" t="s">
        <v>459</v>
      </c>
      <c r="H63" s="79">
        <v>19469.25</v>
      </c>
      <c r="I63" s="79">
        <f t="shared" si="0"/>
        <v>648.97500000000002</v>
      </c>
      <c r="J63" s="79">
        <f t="shared" si="1"/>
        <v>19469.25</v>
      </c>
      <c r="K63" s="79">
        <f t="shared" si="2"/>
        <v>19469.25</v>
      </c>
    </row>
    <row r="64" spans="1:11" ht="78.75">
      <c r="A64" s="225" t="s">
        <v>1515</v>
      </c>
      <c r="B64" s="234" t="s">
        <v>1516</v>
      </c>
      <c r="C64" s="100">
        <v>45372</v>
      </c>
      <c r="D64" s="106" t="s">
        <v>135</v>
      </c>
      <c r="E64" s="107" t="s">
        <v>136</v>
      </c>
      <c r="F64" s="39">
        <v>1</v>
      </c>
      <c r="G64" s="78" t="s">
        <v>463</v>
      </c>
      <c r="H64" s="79">
        <v>9943.5</v>
      </c>
      <c r="I64" s="79">
        <f t="shared" si="0"/>
        <v>331.45</v>
      </c>
      <c r="J64" s="79">
        <f t="shared" si="1"/>
        <v>9943.5</v>
      </c>
      <c r="K64" s="79">
        <f>+F64*J64</f>
        <v>9943.5</v>
      </c>
    </row>
    <row r="65" spans="1:11" ht="78.75">
      <c r="A65" s="233" t="s">
        <v>1513</v>
      </c>
      <c r="B65" s="229" t="s">
        <v>1514</v>
      </c>
      <c r="C65" s="100">
        <v>45372</v>
      </c>
      <c r="D65" s="106" t="s">
        <v>165</v>
      </c>
      <c r="E65" s="107" t="s">
        <v>140</v>
      </c>
      <c r="F65" s="39">
        <v>1</v>
      </c>
      <c r="G65" s="78" t="s">
        <v>463</v>
      </c>
      <c r="H65" s="79">
        <v>17405.599999999999</v>
      </c>
      <c r="I65" s="79">
        <f t="shared" si="0"/>
        <v>580.18666666666661</v>
      </c>
      <c r="J65" s="79">
        <f t="shared" si="1"/>
        <v>17405.599999999999</v>
      </c>
      <c r="K65" s="79">
        <f t="shared" si="2"/>
        <v>17405.599999999999</v>
      </c>
    </row>
    <row r="66" spans="1:11" ht="78.75">
      <c r="A66" s="233" t="s">
        <v>1513</v>
      </c>
      <c r="B66" s="229" t="s">
        <v>1514</v>
      </c>
      <c r="C66" s="100">
        <v>45372</v>
      </c>
      <c r="D66" s="106" t="s">
        <v>135</v>
      </c>
      <c r="E66" s="107" t="s">
        <v>157</v>
      </c>
      <c r="F66" s="39">
        <v>2</v>
      </c>
      <c r="G66" s="78" t="s">
        <v>463</v>
      </c>
      <c r="H66" s="79">
        <v>20188.5</v>
      </c>
      <c r="I66" s="79">
        <f t="shared" si="0"/>
        <v>672.95</v>
      </c>
      <c r="J66" s="79">
        <f t="shared" si="1"/>
        <v>20188.5</v>
      </c>
      <c r="K66" s="79">
        <f t="shared" si="2"/>
        <v>40377</v>
      </c>
    </row>
    <row r="67" spans="1:11" ht="78.75">
      <c r="A67" s="233" t="s">
        <v>1513</v>
      </c>
      <c r="B67" s="229" t="s">
        <v>1514</v>
      </c>
      <c r="C67" s="100">
        <v>45372</v>
      </c>
      <c r="D67" s="106" t="s">
        <v>135</v>
      </c>
      <c r="E67" s="107" t="s">
        <v>166</v>
      </c>
      <c r="F67" s="39">
        <v>3</v>
      </c>
      <c r="G67" s="78" t="s">
        <v>463</v>
      </c>
      <c r="H67" s="79">
        <v>2753.6</v>
      </c>
      <c r="I67" s="79">
        <f t="shared" ref="I67:I130" si="3">+H67/30</f>
        <v>91.786666666666662</v>
      </c>
      <c r="J67" s="79">
        <f t="shared" ref="J67:J130" si="4">+I67*30</f>
        <v>2753.6</v>
      </c>
      <c r="K67" s="79">
        <f t="shared" ref="K67:K130" si="5">+F67*J67</f>
        <v>8260.7999999999993</v>
      </c>
    </row>
    <row r="68" spans="1:11" ht="78.75">
      <c r="A68" s="225" t="s">
        <v>1515</v>
      </c>
      <c r="B68" s="234" t="s">
        <v>1516</v>
      </c>
      <c r="C68" s="100">
        <v>45372</v>
      </c>
      <c r="D68" s="106" t="s">
        <v>167</v>
      </c>
      <c r="E68" s="107" t="s">
        <v>143</v>
      </c>
      <c r="F68" s="39">
        <v>1</v>
      </c>
      <c r="G68" s="78" t="s">
        <v>463</v>
      </c>
      <c r="H68" s="79">
        <v>55097.25</v>
      </c>
      <c r="I68" s="79">
        <f t="shared" si="3"/>
        <v>1836.575</v>
      </c>
      <c r="J68" s="79">
        <f t="shared" si="4"/>
        <v>55097.25</v>
      </c>
      <c r="K68" s="79">
        <f t="shared" si="5"/>
        <v>55097.25</v>
      </c>
    </row>
    <row r="69" spans="1:11" ht="78.75">
      <c r="A69" s="233" t="s">
        <v>1513</v>
      </c>
      <c r="B69" s="229" t="s">
        <v>1514</v>
      </c>
      <c r="C69" s="100">
        <v>45372</v>
      </c>
      <c r="D69" s="106" t="s">
        <v>135</v>
      </c>
      <c r="E69" s="107" t="s">
        <v>155</v>
      </c>
      <c r="F69" s="39">
        <v>1</v>
      </c>
      <c r="G69" s="78" t="s">
        <v>463</v>
      </c>
      <c r="H69" s="79">
        <v>963.2</v>
      </c>
      <c r="I69" s="79">
        <f t="shared" si="3"/>
        <v>32.106666666666669</v>
      </c>
      <c r="J69" s="79">
        <f t="shared" si="4"/>
        <v>963.2</v>
      </c>
      <c r="K69" s="79">
        <f t="shared" si="5"/>
        <v>963.2</v>
      </c>
    </row>
    <row r="70" spans="1:11" ht="78.75">
      <c r="A70" s="225" t="s">
        <v>1515</v>
      </c>
      <c r="B70" s="234" t="s">
        <v>1516</v>
      </c>
      <c r="C70" s="100">
        <v>45372</v>
      </c>
      <c r="D70" s="106" t="s">
        <v>135</v>
      </c>
      <c r="E70" s="107" t="s">
        <v>136</v>
      </c>
      <c r="F70" s="39">
        <v>3</v>
      </c>
      <c r="G70" s="78" t="s">
        <v>1388</v>
      </c>
      <c r="H70" s="79">
        <v>9943.5</v>
      </c>
      <c r="I70" s="79">
        <f t="shared" si="3"/>
        <v>331.45</v>
      </c>
      <c r="J70" s="79">
        <f t="shared" si="4"/>
        <v>9943.5</v>
      </c>
      <c r="K70" s="79">
        <f>+F70*J70</f>
        <v>29830.5</v>
      </c>
    </row>
    <row r="71" spans="1:11" ht="78.75">
      <c r="A71" s="233" t="s">
        <v>1513</v>
      </c>
      <c r="B71" s="229" t="s">
        <v>1514</v>
      </c>
      <c r="C71" s="100">
        <v>45372</v>
      </c>
      <c r="D71" s="106" t="s">
        <v>135</v>
      </c>
      <c r="E71" s="107" t="s">
        <v>157</v>
      </c>
      <c r="F71" s="39">
        <v>8</v>
      </c>
      <c r="G71" s="78" t="s">
        <v>1388</v>
      </c>
      <c r="H71" s="79">
        <v>20188.5</v>
      </c>
      <c r="I71" s="79">
        <f t="shared" si="3"/>
        <v>672.95</v>
      </c>
      <c r="J71" s="79">
        <f t="shared" si="4"/>
        <v>20188.5</v>
      </c>
      <c r="K71" s="79">
        <f t="shared" si="5"/>
        <v>161508</v>
      </c>
    </row>
    <row r="72" spans="1:11" ht="78.75">
      <c r="A72" s="233" t="s">
        <v>1513</v>
      </c>
      <c r="B72" s="229" t="s">
        <v>1514</v>
      </c>
      <c r="C72" s="100">
        <v>45372</v>
      </c>
      <c r="D72" s="106" t="s">
        <v>135</v>
      </c>
      <c r="E72" s="107" t="s">
        <v>155</v>
      </c>
      <c r="F72" s="39">
        <v>1</v>
      </c>
      <c r="G72" s="78" t="s">
        <v>1388</v>
      </c>
      <c r="H72" s="79">
        <v>963.2</v>
      </c>
      <c r="I72" s="79">
        <f t="shared" si="3"/>
        <v>32.106666666666669</v>
      </c>
      <c r="J72" s="79">
        <f t="shared" si="4"/>
        <v>963.2</v>
      </c>
      <c r="K72" s="79">
        <f t="shared" si="5"/>
        <v>963.2</v>
      </c>
    </row>
    <row r="73" spans="1:11" ht="78.75">
      <c r="A73" s="233" t="s">
        <v>1513</v>
      </c>
      <c r="B73" s="229" t="s">
        <v>1514</v>
      </c>
      <c r="C73" s="100">
        <v>45372</v>
      </c>
      <c r="D73" s="106"/>
      <c r="E73" s="107" t="s">
        <v>156</v>
      </c>
      <c r="F73" s="39">
        <v>1</v>
      </c>
      <c r="G73" s="78" t="s">
        <v>1388</v>
      </c>
      <c r="H73" s="79">
        <v>19469.25</v>
      </c>
      <c r="I73" s="79">
        <f t="shared" si="3"/>
        <v>648.97500000000002</v>
      </c>
      <c r="J73" s="79">
        <f t="shared" si="4"/>
        <v>19469.25</v>
      </c>
      <c r="K73" s="79">
        <f t="shared" si="5"/>
        <v>19469.25</v>
      </c>
    </row>
    <row r="74" spans="1:11" ht="78.75">
      <c r="A74" s="233" t="s">
        <v>1513</v>
      </c>
      <c r="B74" s="229" t="s">
        <v>1514</v>
      </c>
      <c r="C74" s="100">
        <v>45372</v>
      </c>
      <c r="D74" s="106"/>
      <c r="E74" s="107" t="s">
        <v>156</v>
      </c>
      <c r="F74" s="39">
        <v>1</v>
      </c>
      <c r="G74" s="78" t="s">
        <v>1388</v>
      </c>
      <c r="H74" s="79">
        <v>19469.25</v>
      </c>
      <c r="I74" s="79">
        <f t="shared" si="3"/>
        <v>648.97500000000002</v>
      </c>
      <c r="J74" s="79">
        <f t="shared" si="4"/>
        <v>19469.25</v>
      </c>
      <c r="K74" s="79">
        <f t="shared" si="5"/>
        <v>19469.25</v>
      </c>
    </row>
    <row r="75" spans="1:11" ht="78.75">
      <c r="A75" s="225" t="s">
        <v>1515</v>
      </c>
      <c r="B75" s="234" t="s">
        <v>1516</v>
      </c>
      <c r="C75" s="100">
        <v>45372</v>
      </c>
      <c r="D75" s="106" t="s">
        <v>135</v>
      </c>
      <c r="E75" s="107" t="s">
        <v>136</v>
      </c>
      <c r="F75" s="39">
        <v>3</v>
      </c>
      <c r="G75" s="78" t="s">
        <v>459</v>
      </c>
      <c r="H75" s="79">
        <v>9943.5</v>
      </c>
      <c r="I75" s="79">
        <f t="shared" si="3"/>
        <v>331.45</v>
      </c>
      <c r="J75" s="79">
        <f t="shared" si="4"/>
        <v>9943.5</v>
      </c>
      <c r="K75" s="79">
        <f>+F75*J75</f>
        <v>29830.5</v>
      </c>
    </row>
    <row r="76" spans="1:11" ht="78.75">
      <c r="A76" s="233" t="s">
        <v>1513</v>
      </c>
      <c r="B76" s="229" t="s">
        <v>1514</v>
      </c>
      <c r="C76" s="100">
        <v>45372</v>
      </c>
      <c r="D76" s="106" t="s">
        <v>135</v>
      </c>
      <c r="E76" s="107" t="s">
        <v>157</v>
      </c>
      <c r="F76" s="39">
        <v>3</v>
      </c>
      <c r="G76" s="196" t="s">
        <v>1387</v>
      </c>
      <c r="H76" s="79">
        <v>20188.5</v>
      </c>
      <c r="I76" s="79">
        <f t="shared" si="3"/>
        <v>672.95</v>
      </c>
      <c r="J76" s="79">
        <f t="shared" si="4"/>
        <v>20188.5</v>
      </c>
      <c r="K76" s="79">
        <f t="shared" si="5"/>
        <v>60565.5</v>
      </c>
    </row>
    <row r="77" spans="1:11" ht="78.75">
      <c r="A77" s="233" t="s">
        <v>1513</v>
      </c>
      <c r="B77" s="229" t="s">
        <v>1514</v>
      </c>
      <c r="C77" s="100">
        <v>45372</v>
      </c>
      <c r="D77" s="106" t="s">
        <v>135</v>
      </c>
      <c r="E77" s="107" t="s">
        <v>155</v>
      </c>
      <c r="F77" s="39">
        <v>1</v>
      </c>
      <c r="G77" s="196" t="s">
        <v>1387</v>
      </c>
      <c r="H77" s="79">
        <v>963.2</v>
      </c>
      <c r="I77" s="79">
        <f t="shared" si="3"/>
        <v>32.106666666666669</v>
      </c>
      <c r="J77" s="79">
        <f t="shared" si="4"/>
        <v>963.2</v>
      </c>
      <c r="K77" s="79">
        <f t="shared" si="5"/>
        <v>963.2</v>
      </c>
    </row>
    <row r="78" spans="1:11" ht="78.75">
      <c r="A78" s="233" t="s">
        <v>1513</v>
      </c>
      <c r="B78" s="229" t="s">
        <v>1514</v>
      </c>
      <c r="C78" s="100">
        <v>45372</v>
      </c>
      <c r="D78" s="106"/>
      <c r="E78" s="107" t="s">
        <v>156</v>
      </c>
      <c r="F78" s="39">
        <v>1</v>
      </c>
      <c r="G78" s="196" t="s">
        <v>1387</v>
      </c>
      <c r="H78" s="79">
        <v>19469.25</v>
      </c>
      <c r="I78" s="79">
        <f t="shared" si="3"/>
        <v>648.97500000000002</v>
      </c>
      <c r="J78" s="79">
        <f t="shared" si="4"/>
        <v>19469.25</v>
      </c>
      <c r="K78" s="79">
        <f t="shared" si="5"/>
        <v>19469.25</v>
      </c>
    </row>
    <row r="79" spans="1:11" ht="78.75">
      <c r="A79" s="233" t="s">
        <v>1513</v>
      </c>
      <c r="B79" s="229" t="s">
        <v>1514</v>
      </c>
      <c r="C79" s="100">
        <v>45372</v>
      </c>
      <c r="D79" s="106"/>
      <c r="E79" s="107" t="s">
        <v>156</v>
      </c>
      <c r="F79" s="39">
        <v>1</v>
      </c>
      <c r="G79" s="196" t="s">
        <v>1387</v>
      </c>
      <c r="H79" s="79">
        <v>19469.25</v>
      </c>
      <c r="I79" s="79">
        <f t="shared" si="3"/>
        <v>648.97500000000002</v>
      </c>
      <c r="J79" s="79">
        <f t="shared" si="4"/>
        <v>19469.25</v>
      </c>
      <c r="K79" s="79">
        <f t="shared" si="5"/>
        <v>19469.25</v>
      </c>
    </row>
    <row r="80" spans="1:11" ht="78.75">
      <c r="A80" s="233" t="s">
        <v>1513</v>
      </c>
      <c r="B80" s="229" t="s">
        <v>1514</v>
      </c>
      <c r="C80" s="100">
        <v>45372</v>
      </c>
      <c r="D80" s="106" t="s">
        <v>135</v>
      </c>
      <c r="E80" s="107" t="s">
        <v>166</v>
      </c>
      <c r="F80" s="39">
        <v>20</v>
      </c>
      <c r="G80" s="78" t="s">
        <v>464</v>
      </c>
      <c r="H80" s="79">
        <v>2753.6</v>
      </c>
      <c r="I80" s="79">
        <f t="shared" si="3"/>
        <v>91.786666666666662</v>
      </c>
      <c r="J80" s="79">
        <f t="shared" si="4"/>
        <v>2753.6</v>
      </c>
      <c r="K80" s="79">
        <f t="shared" si="5"/>
        <v>55072</v>
      </c>
    </row>
    <row r="81" spans="1:11" ht="78.75">
      <c r="A81" s="225" t="s">
        <v>1515</v>
      </c>
      <c r="B81" s="234" t="s">
        <v>1516</v>
      </c>
      <c r="C81" s="100">
        <v>45373</v>
      </c>
      <c r="D81" s="106" t="s">
        <v>135</v>
      </c>
      <c r="E81" s="107" t="s">
        <v>136</v>
      </c>
      <c r="F81" s="39">
        <v>3</v>
      </c>
      <c r="G81" s="78" t="s">
        <v>458</v>
      </c>
      <c r="H81" s="79">
        <v>9943.5</v>
      </c>
      <c r="I81" s="79">
        <f t="shared" si="3"/>
        <v>331.45</v>
      </c>
      <c r="J81" s="79">
        <f t="shared" si="4"/>
        <v>9943.5</v>
      </c>
      <c r="K81" s="79">
        <f>+F81*J81</f>
        <v>29830.5</v>
      </c>
    </row>
    <row r="82" spans="1:11" ht="78.75">
      <c r="A82" s="225" t="s">
        <v>1515</v>
      </c>
      <c r="B82" s="234" t="s">
        <v>1516</v>
      </c>
      <c r="C82" s="100">
        <v>45373</v>
      </c>
      <c r="D82" s="106" t="s">
        <v>168</v>
      </c>
      <c r="E82" s="107" t="s">
        <v>138</v>
      </c>
      <c r="F82" s="39">
        <v>1</v>
      </c>
      <c r="G82" s="78" t="s">
        <v>458</v>
      </c>
      <c r="H82" s="79">
        <v>7204</v>
      </c>
      <c r="I82" s="79">
        <f t="shared" si="3"/>
        <v>240.13333333333333</v>
      </c>
      <c r="J82" s="79">
        <f t="shared" si="4"/>
        <v>7204</v>
      </c>
      <c r="K82" s="79">
        <f t="shared" si="5"/>
        <v>7204</v>
      </c>
    </row>
    <row r="83" spans="1:11" ht="78.75">
      <c r="A83" s="233" t="s">
        <v>1513</v>
      </c>
      <c r="B83" s="229" t="s">
        <v>1514</v>
      </c>
      <c r="C83" s="100">
        <v>45373</v>
      </c>
      <c r="D83" s="106" t="s">
        <v>169</v>
      </c>
      <c r="E83" s="107" t="s">
        <v>156</v>
      </c>
      <c r="F83" s="39">
        <v>1</v>
      </c>
      <c r="G83" s="78" t="s">
        <v>458</v>
      </c>
      <c r="H83" s="79">
        <v>19469.25</v>
      </c>
      <c r="I83" s="79">
        <f t="shared" si="3"/>
        <v>648.97500000000002</v>
      </c>
      <c r="J83" s="79">
        <f t="shared" si="4"/>
        <v>19469.25</v>
      </c>
      <c r="K83" s="79">
        <f t="shared" si="5"/>
        <v>19469.25</v>
      </c>
    </row>
    <row r="84" spans="1:11" ht="78.75">
      <c r="A84" s="233" t="s">
        <v>1513</v>
      </c>
      <c r="B84" s="229" t="s">
        <v>1514</v>
      </c>
      <c r="C84" s="100">
        <v>45373</v>
      </c>
      <c r="D84" s="106" t="s">
        <v>170</v>
      </c>
      <c r="E84" s="107" t="s">
        <v>156</v>
      </c>
      <c r="F84" s="39">
        <v>1</v>
      </c>
      <c r="G84" s="78" t="s">
        <v>458</v>
      </c>
      <c r="H84" s="79">
        <v>19469.25</v>
      </c>
      <c r="I84" s="79">
        <f t="shared" si="3"/>
        <v>648.97500000000002</v>
      </c>
      <c r="J84" s="79">
        <f t="shared" si="4"/>
        <v>19469.25</v>
      </c>
      <c r="K84" s="79">
        <f t="shared" si="5"/>
        <v>19469.25</v>
      </c>
    </row>
    <row r="85" spans="1:11" ht="78.75">
      <c r="A85" s="233" t="s">
        <v>1513</v>
      </c>
      <c r="B85" s="229" t="s">
        <v>1514</v>
      </c>
      <c r="C85" s="100">
        <v>45373</v>
      </c>
      <c r="D85" s="106" t="s">
        <v>135</v>
      </c>
      <c r="E85" s="107" t="s">
        <v>166</v>
      </c>
      <c r="F85" s="39">
        <v>1</v>
      </c>
      <c r="G85" s="78" t="s">
        <v>458</v>
      </c>
      <c r="H85" s="79">
        <v>2753.6</v>
      </c>
      <c r="I85" s="79">
        <f t="shared" si="3"/>
        <v>91.786666666666662</v>
      </c>
      <c r="J85" s="79">
        <f t="shared" si="4"/>
        <v>2753.6</v>
      </c>
      <c r="K85" s="79">
        <f t="shared" si="5"/>
        <v>2753.6</v>
      </c>
    </row>
    <row r="86" spans="1:11" ht="78.75">
      <c r="A86" s="225" t="s">
        <v>1515</v>
      </c>
      <c r="B86" s="234" t="s">
        <v>1516</v>
      </c>
      <c r="C86" s="100">
        <v>45373</v>
      </c>
      <c r="D86" s="106" t="s">
        <v>171</v>
      </c>
      <c r="E86" s="107" t="s">
        <v>143</v>
      </c>
      <c r="F86" s="39">
        <v>1</v>
      </c>
      <c r="G86" s="78" t="s">
        <v>458</v>
      </c>
      <c r="H86" s="79">
        <v>55097.25</v>
      </c>
      <c r="I86" s="79">
        <f t="shared" si="3"/>
        <v>1836.575</v>
      </c>
      <c r="J86" s="79">
        <f t="shared" si="4"/>
        <v>55097.25</v>
      </c>
      <c r="K86" s="79">
        <f t="shared" si="5"/>
        <v>55097.25</v>
      </c>
    </row>
    <row r="87" spans="1:11" ht="78.75">
      <c r="A87" s="225" t="s">
        <v>1515</v>
      </c>
      <c r="B87" s="234" t="s">
        <v>1516</v>
      </c>
      <c r="C87" s="100">
        <v>45373</v>
      </c>
      <c r="D87" s="106" t="s">
        <v>172</v>
      </c>
      <c r="E87" s="107" t="s">
        <v>143</v>
      </c>
      <c r="F87" s="39">
        <v>1</v>
      </c>
      <c r="G87" s="78" t="s">
        <v>458</v>
      </c>
      <c r="H87" s="79">
        <v>55097.25</v>
      </c>
      <c r="I87" s="79">
        <f t="shared" si="3"/>
        <v>1836.575</v>
      </c>
      <c r="J87" s="79">
        <f t="shared" si="4"/>
        <v>55097.25</v>
      </c>
      <c r="K87" s="79">
        <f t="shared" si="5"/>
        <v>55097.25</v>
      </c>
    </row>
    <row r="88" spans="1:11" ht="78.75">
      <c r="A88" s="225" t="s">
        <v>1515</v>
      </c>
      <c r="B88" s="234" t="s">
        <v>1516</v>
      </c>
      <c r="C88" s="100">
        <v>45373</v>
      </c>
      <c r="D88" s="106" t="s">
        <v>173</v>
      </c>
      <c r="E88" s="107" t="s">
        <v>150</v>
      </c>
      <c r="F88" s="39">
        <v>1</v>
      </c>
      <c r="G88" s="78" t="s">
        <v>458</v>
      </c>
      <c r="H88" s="79">
        <v>49891.5</v>
      </c>
      <c r="I88" s="79">
        <f t="shared" si="3"/>
        <v>1663.05</v>
      </c>
      <c r="J88" s="79">
        <f t="shared" si="4"/>
        <v>49891.5</v>
      </c>
      <c r="K88" s="79">
        <f t="shared" si="5"/>
        <v>49891.5</v>
      </c>
    </row>
    <row r="89" spans="1:11" ht="78.75">
      <c r="A89" s="225" t="s">
        <v>1515</v>
      </c>
      <c r="B89" s="234" t="s">
        <v>1516</v>
      </c>
      <c r="C89" s="100">
        <v>45373</v>
      </c>
      <c r="D89" s="106" t="s">
        <v>135</v>
      </c>
      <c r="E89" s="107" t="s">
        <v>136</v>
      </c>
      <c r="F89" s="39">
        <v>2</v>
      </c>
      <c r="G89" s="78" t="s">
        <v>456</v>
      </c>
      <c r="H89" s="79">
        <v>9943.5</v>
      </c>
      <c r="I89" s="79">
        <f t="shared" si="3"/>
        <v>331.45</v>
      </c>
      <c r="J89" s="79">
        <f t="shared" si="4"/>
        <v>9943.5</v>
      </c>
      <c r="K89" s="79">
        <f>+F89*J89</f>
        <v>19887</v>
      </c>
    </row>
    <row r="90" spans="1:11" ht="78.75">
      <c r="A90" s="225" t="s">
        <v>1515</v>
      </c>
      <c r="B90" s="234" t="s">
        <v>1516</v>
      </c>
      <c r="C90" s="100">
        <v>45373</v>
      </c>
      <c r="D90" s="106" t="s">
        <v>174</v>
      </c>
      <c r="E90" s="107" t="s">
        <v>138</v>
      </c>
      <c r="F90" s="39">
        <v>1</v>
      </c>
      <c r="G90" s="78" t="s">
        <v>456</v>
      </c>
      <c r="H90" s="79">
        <v>7204</v>
      </c>
      <c r="I90" s="79">
        <f t="shared" si="3"/>
        <v>240.13333333333333</v>
      </c>
      <c r="J90" s="79">
        <f t="shared" si="4"/>
        <v>7204</v>
      </c>
      <c r="K90" s="79">
        <f t="shared" si="5"/>
        <v>7204</v>
      </c>
    </row>
    <row r="91" spans="1:11" ht="78.75">
      <c r="A91" s="233" t="s">
        <v>1513</v>
      </c>
      <c r="B91" s="229" t="s">
        <v>1514</v>
      </c>
      <c r="C91" s="100">
        <v>45373</v>
      </c>
      <c r="D91" s="106" t="s">
        <v>175</v>
      </c>
      <c r="E91" s="107" t="s">
        <v>156</v>
      </c>
      <c r="F91" s="39">
        <v>1</v>
      </c>
      <c r="G91" s="78" t="s">
        <v>456</v>
      </c>
      <c r="H91" s="79">
        <v>19469.25</v>
      </c>
      <c r="I91" s="79">
        <f t="shared" si="3"/>
        <v>648.97500000000002</v>
      </c>
      <c r="J91" s="79">
        <f t="shared" si="4"/>
        <v>19469.25</v>
      </c>
      <c r="K91" s="79">
        <f t="shared" si="5"/>
        <v>19469.25</v>
      </c>
    </row>
    <row r="92" spans="1:11" ht="78.75">
      <c r="A92" s="225" t="s">
        <v>1515</v>
      </c>
      <c r="B92" s="234" t="s">
        <v>1516</v>
      </c>
      <c r="C92" s="100">
        <v>45373</v>
      </c>
      <c r="D92" s="106" t="s">
        <v>176</v>
      </c>
      <c r="E92" s="107" t="s">
        <v>143</v>
      </c>
      <c r="F92" s="39">
        <v>1</v>
      </c>
      <c r="G92" s="78" t="s">
        <v>456</v>
      </c>
      <c r="H92" s="79">
        <v>55097.25</v>
      </c>
      <c r="I92" s="79">
        <f t="shared" si="3"/>
        <v>1836.575</v>
      </c>
      <c r="J92" s="79">
        <f t="shared" si="4"/>
        <v>55097.25</v>
      </c>
      <c r="K92" s="79">
        <f t="shared" si="5"/>
        <v>55097.25</v>
      </c>
    </row>
    <row r="93" spans="1:11" ht="78.75">
      <c r="A93" s="225" t="s">
        <v>1515</v>
      </c>
      <c r="B93" s="234" t="s">
        <v>1516</v>
      </c>
      <c r="C93" s="100">
        <v>45373</v>
      </c>
      <c r="D93" s="106" t="s">
        <v>135</v>
      </c>
      <c r="E93" s="107" t="s">
        <v>136</v>
      </c>
      <c r="F93" s="39">
        <v>2</v>
      </c>
      <c r="G93" s="78" t="s">
        <v>457</v>
      </c>
      <c r="H93" s="79">
        <v>9943.5</v>
      </c>
      <c r="I93" s="79">
        <f t="shared" si="3"/>
        <v>331.45</v>
      </c>
      <c r="J93" s="79">
        <f t="shared" si="4"/>
        <v>9943.5</v>
      </c>
      <c r="K93" s="79">
        <f>+F93*J93</f>
        <v>19887</v>
      </c>
    </row>
    <row r="94" spans="1:11" ht="78.75">
      <c r="A94" s="233" t="s">
        <v>1513</v>
      </c>
      <c r="B94" s="229" t="s">
        <v>1514</v>
      </c>
      <c r="C94" s="100">
        <v>45373</v>
      </c>
      <c r="D94" s="106" t="s">
        <v>177</v>
      </c>
      <c r="E94" s="107" t="s">
        <v>156</v>
      </c>
      <c r="F94" s="39">
        <v>1</v>
      </c>
      <c r="G94" s="78" t="s">
        <v>457</v>
      </c>
      <c r="H94" s="79">
        <v>19469.25</v>
      </c>
      <c r="I94" s="79">
        <f t="shared" si="3"/>
        <v>648.97500000000002</v>
      </c>
      <c r="J94" s="79">
        <f t="shared" si="4"/>
        <v>19469.25</v>
      </c>
      <c r="K94" s="79">
        <f t="shared" si="5"/>
        <v>19469.25</v>
      </c>
    </row>
    <row r="95" spans="1:11" ht="78.75">
      <c r="A95" s="233" t="s">
        <v>1513</v>
      </c>
      <c r="B95" s="229" t="s">
        <v>1514</v>
      </c>
      <c r="C95" s="100">
        <v>45373</v>
      </c>
      <c r="D95" s="106" t="s">
        <v>178</v>
      </c>
      <c r="E95" s="107" t="s">
        <v>156</v>
      </c>
      <c r="F95" s="39">
        <v>1</v>
      </c>
      <c r="G95" s="78" t="s">
        <v>457</v>
      </c>
      <c r="H95" s="79">
        <v>19469.25</v>
      </c>
      <c r="I95" s="79">
        <f t="shared" si="3"/>
        <v>648.97500000000002</v>
      </c>
      <c r="J95" s="79">
        <f t="shared" si="4"/>
        <v>19469.25</v>
      </c>
      <c r="K95" s="79">
        <f t="shared" si="5"/>
        <v>19469.25</v>
      </c>
    </row>
    <row r="96" spans="1:11" ht="78.75">
      <c r="A96" s="225" t="s">
        <v>1515</v>
      </c>
      <c r="B96" s="234" t="s">
        <v>1516</v>
      </c>
      <c r="C96" s="101">
        <v>45373</v>
      </c>
      <c r="D96" s="106" t="s">
        <v>179</v>
      </c>
      <c r="E96" s="107" t="s">
        <v>150</v>
      </c>
      <c r="F96" s="39">
        <v>1</v>
      </c>
      <c r="G96" s="78" t="s">
        <v>457</v>
      </c>
      <c r="H96" s="79">
        <v>49891.5</v>
      </c>
      <c r="I96" s="79">
        <f t="shared" si="3"/>
        <v>1663.05</v>
      </c>
      <c r="J96" s="79">
        <f t="shared" si="4"/>
        <v>49891.5</v>
      </c>
      <c r="K96" s="79">
        <f t="shared" si="5"/>
        <v>49891.5</v>
      </c>
    </row>
    <row r="97" spans="1:11" ht="78.75">
      <c r="A97" s="225" t="s">
        <v>1515</v>
      </c>
      <c r="B97" s="234" t="s">
        <v>1516</v>
      </c>
      <c r="C97" s="100">
        <v>45377</v>
      </c>
      <c r="D97" s="106" t="s">
        <v>135</v>
      </c>
      <c r="E97" s="107" t="s">
        <v>136</v>
      </c>
      <c r="F97" s="39">
        <v>3</v>
      </c>
      <c r="G97" s="196" t="s">
        <v>1383</v>
      </c>
      <c r="H97" s="79">
        <v>9943.5</v>
      </c>
      <c r="I97" s="79">
        <f t="shared" si="3"/>
        <v>331.45</v>
      </c>
      <c r="J97" s="79">
        <f t="shared" si="4"/>
        <v>9943.5</v>
      </c>
      <c r="K97" s="79">
        <f>+F97*J97</f>
        <v>29830.5</v>
      </c>
    </row>
    <row r="98" spans="1:11" ht="78.75">
      <c r="A98" s="233" t="s">
        <v>1513</v>
      </c>
      <c r="B98" s="229" t="s">
        <v>1514</v>
      </c>
      <c r="C98" s="100">
        <v>45377</v>
      </c>
      <c r="D98" s="106"/>
      <c r="E98" s="107" t="s">
        <v>156</v>
      </c>
      <c r="F98" s="39">
        <v>1</v>
      </c>
      <c r="G98" s="78" t="s">
        <v>450</v>
      </c>
      <c r="H98" s="79">
        <v>19469.25</v>
      </c>
      <c r="I98" s="79">
        <f t="shared" si="3"/>
        <v>648.97500000000002</v>
      </c>
      <c r="J98" s="79">
        <f t="shared" si="4"/>
        <v>19469.25</v>
      </c>
      <c r="K98" s="79">
        <f t="shared" si="5"/>
        <v>19469.25</v>
      </c>
    </row>
    <row r="99" spans="1:11" ht="78.75">
      <c r="A99" s="233" t="s">
        <v>1513</v>
      </c>
      <c r="B99" s="229" t="s">
        <v>1514</v>
      </c>
      <c r="C99" s="100">
        <v>45377</v>
      </c>
      <c r="D99" s="106"/>
      <c r="E99" s="107" t="s">
        <v>156</v>
      </c>
      <c r="F99" s="39">
        <v>1</v>
      </c>
      <c r="G99" s="78" t="s">
        <v>451</v>
      </c>
      <c r="H99" s="79">
        <v>19469.25</v>
      </c>
      <c r="I99" s="79">
        <f t="shared" si="3"/>
        <v>648.97500000000002</v>
      </c>
      <c r="J99" s="79">
        <f t="shared" si="4"/>
        <v>19469.25</v>
      </c>
      <c r="K99" s="79">
        <f t="shared" si="5"/>
        <v>19469.25</v>
      </c>
    </row>
    <row r="100" spans="1:11" ht="78.75">
      <c r="A100" s="233" t="s">
        <v>1513</v>
      </c>
      <c r="B100" s="229" t="s">
        <v>1514</v>
      </c>
      <c r="C100" s="100">
        <v>45377</v>
      </c>
      <c r="D100" s="106" t="s">
        <v>135</v>
      </c>
      <c r="E100" s="107" t="s">
        <v>157</v>
      </c>
      <c r="F100" s="39">
        <v>3</v>
      </c>
      <c r="G100" s="196" t="s">
        <v>1383</v>
      </c>
      <c r="H100" s="79">
        <v>20188.5</v>
      </c>
      <c r="I100" s="79">
        <f t="shared" si="3"/>
        <v>672.95</v>
      </c>
      <c r="J100" s="79">
        <f t="shared" si="4"/>
        <v>20188.5</v>
      </c>
      <c r="K100" s="79">
        <f t="shared" si="5"/>
        <v>60565.5</v>
      </c>
    </row>
    <row r="101" spans="1:11" ht="78.75">
      <c r="A101" s="225" t="s">
        <v>1515</v>
      </c>
      <c r="B101" s="234" t="s">
        <v>1516</v>
      </c>
      <c r="C101" s="100">
        <v>45377</v>
      </c>
      <c r="D101" s="106" t="s">
        <v>135</v>
      </c>
      <c r="E101" s="107" t="s">
        <v>136</v>
      </c>
      <c r="F101" s="39">
        <v>3</v>
      </c>
      <c r="G101" s="196" t="s">
        <v>1386</v>
      </c>
      <c r="H101" s="79">
        <v>9943.5</v>
      </c>
      <c r="I101" s="79">
        <f t="shared" si="3"/>
        <v>331.45</v>
      </c>
      <c r="J101" s="79">
        <f t="shared" si="4"/>
        <v>9943.5</v>
      </c>
      <c r="K101" s="79">
        <f>+F101*J101</f>
        <v>29830.5</v>
      </c>
    </row>
    <row r="102" spans="1:11" ht="78.75">
      <c r="A102" s="233" t="s">
        <v>1513</v>
      </c>
      <c r="B102" s="229" t="s">
        <v>1514</v>
      </c>
      <c r="C102" s="100">
        <v>45377</v>
      </c>
      <c r="D102" s="106"/>
      <c r="E102" s="107" t="s">
        <v>156</v>
      </c>
      <c r="F102" s="39">
        <v>1</v>
      </c>
      <c r="G102" s="196" t="s">
        <v>1386</v>
      </c>
      <c r="H102" s="79">
        <v>19469.25</v>
      </c>
      <c r="I102" s="79">
        <f t="shared" si="3"/>
        <v>648.97500000000002</v>
      </c>
      <c r="J102" s="79">
        <f t="shared" si="4"/>
        <v>19469.25</v>
      </c>
      <c r="K102" s="79">
        <f t="shared" si="5"/>
        <v>19469.25</v>
      </c>
    </row>
    <row r="103" spans="1:11" ht="78.75">
      <c r="A103" s="233" t="s">
        <v>1513</v>
      </c>
      <c r="B103" s="229" t="s">
        <v>1514</v>
      </c>
      <c r="C103" s="100">
        <v>45377</v>
      </c>
      <c r="D103" s="106"/>
      <c r="E103" s="107" t="s">
        <v>156</v>
      </c>
      <c r="F103" s="39">
        <v>1</v>
      </c>
      <c r="G103" s="196" t="s">
        <v>1386</v>
      </c>
      <c r="H103" s="79">
        <v>19469.25</v>
      </c>
      <c r="I103" s="79">
        <f t="shared" si="3"/>
        <v>648.97500000000002</v>
      </c>
      <c r="J103" s="79">
        <f t="shared" si="4"/>
        <v>19469.25</v>
      </c>
      <c r="K103" s="79">
        <f t="shared" si="5"/>
        <v>19469.25</v>
      </c>
    </row>
    <row r="104" spans="1:11" ht="78.75">
      <c r="A104" s="233" t="s">
        <v>1513</v>
      </c>
      <c r="B104" s="229" t="s">
        <v>1514</v>
      </c>
      <c r="C104" s="100">
        <v>45377</v>
      </c>
      <c r="D104" s="106" t="s">
        <v>135</v>
      </c>
      <c r="E104" s="107" t="s">
        <v>157</v>
      </c>
      <c r="F104" s="39">
        <v>3</v>
      </c>
      <c r="G104" s="196" t="s">
        <v>1382</v>
      </c>
      <c r="H104" s="79">
        <v>20188.5</v>
      </c>
      <c r="I104" s="79">
        <f t="shared" si="3"/>
        <v>672.95</v>
      </c>
      <c r="J104" s="79">
        <f t="shared" si="4"/>
        <v>20188.5</v>
      </c>
      <c r="K104" s="79">
        <f t="shared" si="5"/>
        <v>60565.5</v>
      </c>
    </row>
    <row r="105" spans="1:11" ht="78.75">
      <c r="A105" s="225" t="s">
        <v>1515</v>
      </c>
      <c r="B105" s="234" t="s">
        <v>1516</v>
      </c>
      <c r="C105" s="100">
        <v>45377</v>
      </c>
      <c r="D105" s="106" t="s">
        <v>135</v>
      </c>
      <c r="E105" s="107" t="s">
        <v>136</v>
      </c>
      <c r="F105" s="39">
        <v>3</v>
      </c>
      <c r="G105" s="196" t="s">
        <v>1382</v>
      </c>
      <c r="H105" s="79">
        <v>9943.5</v>
      </c>
      <c r="I105" s="79">
        <f t="shared" si="3"/>
        <v>331.45</v>
      </c>
      <c r="J105" s="79">
        <f t="shared" si="4"/>
        <v>9943.5</v>
      </c>
      <c r="K105" s="79">
        <f>+F105*J105</f>
        <v>29830.5</v>
      </c>
    </row>
    <row r="106" spans="1:11" ht="78.75">
      <c r="A106" s="233" t="s">
        <v>1513</v>
      </c>
      <c r="B106" s="229" t="s">
        <v>1514</v>
      </c>
      <c r="C106" s="100">
        <v>45377</v>
      </c>
      <c r="D106" s="106"/>
      <c r="E106" s="107" t="s">
        <v>156</v>
      </c>
      <c r="F106" s="39">
        <v>1</v>
      </c>
      <c r="G106" s="196" t="s">
        <v>1386</v>
      </c>
      <c r="H106" s="79">
        <v>19469.25</v>
      </c>
      <c r="I106" s="79">
        <f t="shared" si="3"/>
        <v>648.97500000000002</v>
      </c>
      <c r="J106" s="79">
        <f t="shared" si="4"/>
        <v>19469.25</v>
      </c>
      <c r="K106" s="79">
        <f t="shared" si="5"/>
        <v>19469.25</v>
      </c>
    </row>
    <row r="107" spans="1:11" ht="78.75">
      <c r="A107" s="233" t="s">
        <v>1513</v>
      </c>
      <c r="B107" s="229" t="s">
        <v>1514</v>
      </c>
      <c r="C107" s="100">
        <v>45377</v>
      </c>
      <c r="D107" s="106"/>
      <c r="E107" s="107" t="s">
        <v>156</v>
      </c>
      <c r="F107" s="39">
        <v>1</v>
      </c>
      <c r="G107" s="196" t="s">
        <v>1386</v>
      </c>
      <c r="H107" s="79">
        <v>19469.25</v>
      </c>
      <c r="I107" s="79">
        <f t="shared" si="3"/>
        <v>648.97500000000002</v>
      </c>
      <c r="J107" s="79">
        <f t="shared" si="4"/>
        <v>19469.25</v>
      </c>
      <c r="K107" s="79">
        <f t="shared" si="5"/>
        <v>19469.25</v>
      </c>
    </row>
    <row r="108" spans="1:11" ht="78.75">
      <c r="A108" s="233" t="s">
        <v>1513</v>
      </c>
      <c r="B108" s="229" t="s">
        <v>1514</v>
      </c>
      <c r="C108" s="100">
        <v>45377</v>
      </c>
      <c r="D108" s="106"/>
      <c r="E108" s="107" t="s">
        <v>156</v>
      </c>
      <c r="F108" s="39">
        <v>1</v>
      </c>
      <c r="G108" s="196" t="s">
        <v>1383</v>
      </c>
      <c r="H108" s="79">
        <v>19469.25</v>
      </c>
      <c r="I108" s="79">
        <f t="shared" si="3"/>
        <v>648.97500000000002</v>
      </c>
      <c r="J108" s="79">
        <f t="shared" si="4"/>
        <v>19469.25</v>
      </c>
      <c r="K108" s="79">
        <f t="shared" si="5"/>
        <v>19469.25</v>
      </c>
    </row>
    <row r="109" spans="1:11" ht="78.75">
      <c r="A109" s="233" t="s">
        <v>1513</v>
      </c>
      <c r="B109" s="229" t="s">
        <v>1514</v>
      </c>
      <c r="C109" s="100">
        <v>45377</v>
      </c>
      <c r="D109" s="106"/>
      <c r="E109" s="107" t="s">
        <v>156</v>
      </c>
      <c r="F109" s="39">
        <v>1</v>
      </c>
      <c r="G109" s="196" t="s">
        <v>1383</v>
      </c>
      <c r="H109" s="79">
        <v>19469.25</v>
      </c>
      <c r="I109" s="79">
        <f t="shared" si="3"/>
        <v>648.97500000000002</v>
      </c>
      <c r="J109" s="79">
        <f t="shared" si="4"/>
        <v>19469.25</v>
      </c>
      <c r="K109" s="79">
        <f t="shared" si="5"/>
        <v>19469.25</v>
      </c>
    </row>
    <row r="110" spans="1:11" ht="78.75">
      <c r="A110" s="233" t="s">
        <v>1513</v>
      </c>
      <c r="B110" s="229" t="s">
        <v>1514</v>
      </c>
      <c r="C110" s="100">
        <v>45377</v>
      </c>
      <c r="D110" s="106" t="s">
        <v>135</v>
      </c>
      <c r="E110" s="107" t="s">
        <v>157</v>
      </c>
      <c r="F110" s="39">
        <v>4</v>
      </c>
      <c r="G110" s="196" t="s">
        <v>1386</v>
      </c>
      <c r="H110" s="79">
        <v>20188.5</v>
      </c>
      <c r="I110" s="79">
        <f t="shared" si="3"/>
        <v>672.95</v>
      </c>
      <c r="J110" s="79">
        <f t="shared" si="4"/>
        <v>20188.5</v>
      </c>
      <c r="K110" s="79">
        <f t="shared" si="5"/>
        <v>80754</v>
      </c>
    </row>
    <row r="111" spans="1:11" ht="78.75">
      <c r="A111" s="225" t="s">
        <v>1515</v>
      </c>
      <c r="B111" s="234" t="s">
        <v>1516</v>
      </c>
      <c r="C111" s="100">
        <v>45377</v>
      </c>
      <c r="D111" s="106" t="s">
        <v>135</v>
      </c>
      <c r="E111" s="107" t="s">
        <v>136</v>
      </c>
      <c r="F111" s="39">
        <v>2</v>
      </c>
      <c r="G111" s="78" t="s">
        <v>451</v>
      </c>
      <c r="H111" s="79">
        <v>9943.5</v>
      </c>
      <c r="I111" s="79">
        <f t="shared" si="3"/>
        <v>331.45</v>
      </c>
      <c r="J111" s="79">
        <f t="shared" si="4"/>
        <v>9943.5</v>
      </c>
      <c r="K111" s="79">
        <f>+F111*J111</f>
        <v>19887</v>
      </c>
    </row>
    <row r="112" spans="1:11" ht="78.75">
      <c r="A112" s="233" t="s">
        <v>1513</v>
      </c>
      <c r="B112" s="229" t="s">
        <v>1514</v>
      </c>
      <c r="C112" s="100">
        <v>45377</v>
      </c>
      <c r="D112" s="106"/>
      <c r="E112" s="107" t="s">
        <v>156</v>
      </c>
      <c r="F112" s="39">
        <v>1</v>
      </c>
      <c r="G112" s="196" t="s">
        <v>1382</v>
      </c>
      <c r="H112" s="79">
        <v>19469.25</v>
      </c>
      <c r="I112" s="79">
        <f t="shared" si="3"/>
        <v>648.97500000000002</v>
      </c>
      <c r="J112" s="79">
        <f t="shared" si="4"/>
        <v>19469.25</v>
      </c>
      <c r="K112" s="79">
        <f t="shared" si="5"/>
        <v>19469.25</v>
      </c>
    </row>
    <row r="113" spans="1:11" ht="78.75">
      <c r="A113" s="233" t="s">
        <v>1513</v>
      </c>
      <c r="B113" s="229" t="s">
        <v>1514</v>
      </c>
      <c r="C113" s="100">
        <v>45377</v>
      </c>
      <c r="D113" s="106" t="s">
        <v>135</v>
      </c>
      <c r="E113" s="107" t="s">
        <v>157</v>
      </c>
      <c r="F113" s="39">
        <v>2</v>
      </c>
      <c r="G113" s="78" t="s">
        <v>508</v>
      </c>
      <c r="H113" s="79">
        <v>20188.5</v>
      </c>
      <c r="I113" s="79">
        <f t="shared" si="3"/>
        <v>672.95</v>
      </c>
      <c r="J113" s="79">
        <f t="shared" si="4"/>
        <v>20188.5</v>
      </c>
      <c r="K113" s="79">
        <f t="shared" si="5"/>
        <v>40377</v>
      </c>
    </row>
    <row r="114" spans="1:11" ht="78.75">
      <c r="A114" s="225" t="s">
        <v>1515</v>
      </c>
      <c r="B114" s="234" t="s">
        <v>1516</v>
      </c>
      <c r="C114" s="100">
        <v>45377</v>
      </c>
      <c r="D114" s="106" t="s">
        <v>135</v>
      </c>
      <c r="E114" s="107" t="s">
        <v>136</v>
      </c>
      <c r="F114" s="39">
        <v>2</v>
      </c>
      <c r="G114" s="78" t="s">
        <v>455</v>
      </c>
      <c r="H114" s="79">
        <v>9943.5</v>
      </c>
      <c r="I114" s="79">
        <f t="shared" si="3"/>
        <v>331.45</v>
      </c>
      <c r="J114" s="79">
        <f t="shared" si="4"/>
        <v>9943.5</v>
      </c>
      <c r="K114" s="79">
        <f>+F114*J114</f>
        <v>19887</v>
      </c>
    </row>
    <row r="115" spans="1:11" ht="78.75">
      <c r="A115" s="233" t="s">
        <v>1513</v>
      </c>
      <c r="B115" s="229" t="s">
        <v>1514</v>
      </c>
      <c r="C115" s="100">
        <v>45377</v>
      </c>
      <c r="D115" s="106"/>
      <c r="E115" s="107" t="s">
        <v>156</v>
      </c>
      <c r="F115" s="39">
        <v>1</v>
      </c>
      <c r="G115" s="78" t="s">
        <v>455</v>
      </c>
      <c r="H115" s="79">
        <v>19469.25</v>
      </c>
      <c r="I115" s="79">
        <f t="shared" si="3"/>
        <v>648.97500000000002</v>
      </c>
      <c r="J115" s="79">
        <f t="shared" si="4"/>
        <v>19469.25</v>
      </c>
      <c r="K115" s="79">
        <f t="shared" si="5"/>
        <v>19469.25</v>
      </c>
    </row>
    <row r="116" spans="1:11" ht="78.75">
      <c r="A116" s="233" t="s">
        <v>1513</v>
      </c>
      <c r="B116" s="229" t="s">
        <v>1514</v>
      </c>
      <c r="C116" s="100">
        <v>45377</v>
      </c>
      <c r="D116" s="106" t="s">
        <v>135</v>
      </c>
      <c r="E116" s="107" t="s">
        <v>157</v>
      </c>
      <c r="F116" s="39">
        <v>1</v>
      </c>
      <c r="G116" s="78" t="s">
        <v>451</v>
      </c>
      <c r="H116" s="79">
        <v>20188.5</v>
      </c>
      <c r="I116" s="79">
        <f t="shared" si="3"/>
        <v>672.95</v>
      </c>
      <c r="J116" s="79">
        <f t="shared" si="4"/>
        <v>20188.5</v>
      </c>
      <c r="K116" s="79">
        <f t="shared" si="5"/>
        <v>20188.5</v>
      </c>
    </row>
    <row r="117" spans="1:11" ht="78.75">
      <c r="A117" s="225" t="s">
        <v>1515</v>
      </c>
      <c r="B117" s="234" t="s">
        <v>1516</v>
      </c>
      <c r="C117" s="100">
        <v>45377</v>
      </c>
      <c r="D117" s="106"/>
      <c r="E117" s="107" t="s">
        <v>150</v>
      </c>
      <c r="F117" s="39">
        <v>1</v>
      </c>
      <c r="G117" s="78" t="s">
        <v>450</v>
      </c>
      <c r="H117" s="79">
        <v>49891.5</v>
      </c>
      <c r="I117" s="79">
        <f t="shared" si="3"/>
        <v>1663.05</v>
      </c>
      <c r="J117" s="79">
        <f t="shared" si="4"/>
        <v>49891.5</v>
      </c>
      <c r="K117" s="79">
        <f t="shared" si="5"/>
        <v>49891.5</v>
      </c>
    </row>
    <row r="118" spans="1:11" ht="78.75">
      <c r="A118" s="225" t="s">
        <v>1515</v>
      </c>
      <c r="B118" s="234" t="s">
        <v>1516</v>
      </c>
      <c r="C118" s="100">
        <v>45377</v>
      </c>
      <c r="D118" s="106" t="s">
        <v>135</v>
      </c>
      <c r="E118" s="107" t="s">
        <v>136</v>
      </c>
      <c r="F118" s="39">
        <v>2</v>
      </c>
      <c r="G118" s="78" t="s">
        <v>450</v>
      </c>
      <c r="H118" s="79">
        <v>9943.5</v>
      </c>
      <c r="I118" s="79">
        <f t="shared" si="3"/>
        <v>331.45</v>
      </c>
      <c r="J118" s="79">
        <f t="shared" si="4"/>
        <v>9943.5</v>
      </c>
      <c r="K118" s="79">
        <f>+F118*J118</f>
        <v>19887</v>
      </c>
    </row>
    <row r="119" spans="1:11" ht="78.75">
      <c r="A119" s="233" t="s">
        <v>1513</v>
      </c>
      <c r="B119" s="229" t="s">
        <v>1514</v>
      </c>
      <c r="C119" s="100">
        <v>45377</v>
      </c>
      <c r="D119" s="106"/>
      <c r="E119" s="107" t="s">
        <v>156</v>
      </c>
      <c r="F119" s="39">
        <v>1</v>
      </c>
      <c r="G119" s="196" t="s">
        <v>1382</v>
      </c>
      <c r="H119" s="79">
        <v>19469.25</v>
      </c>
      <c r="I119" s="79">
        <f t="shared" si="3"/>
        <v>648.97500000000002</v>
      </c>
      <c r="J119" s="79">
        <f t="shared" si="4"/>
        <v>19469.25</v>
      </c>
      <c r="K119" s="79">
        <f t="shared" si="5"/>
        <v>19469.25</v>
      </c>
    </row>
    <row r="120" spans="1:11" ht="78.75">
      <c r="A120" s="233" t="s">
        <v>1513</v>
      </c>
      <c r="B120" s="229" t="s">
        <v>1514</v>
      </c>
      <c r="C120" s="100">
        <v>45377</v>
      </c>
      <c r="D120" s="106" t="s">
        <v>135</v>
      </c>
      <c r="E120" s="107" t="s">
        <v>157</v>
      </c>
      <c r="F120" s="39">
        <v>2</v>
      </c>
      <c r="G120" s="78" t="s">
        <v>455</v>
      </c>
      <c r="H120" s="79">
        <v>20188.5</v>
      </c>
      <c r="I120" s="79">
        <f t="shared" si="3"/>
        <v>672.95</v>
      </c>
      <c r="J120" s="79">
        <f t="shared" si="4"/>
        <v>20188.5</v>
      </c>
      <c r="K120" s="79">
        <f t="shared" si="5"/>
        <v>40377</v>
      </c>
    </row>
    <row r="121" spans="1:11" ht="78.75">
      <c r="A121" s="233" t="s">
        <v>1513</v>
      </c>
      <c r="B121" s="229" t="s">
        <v>1514</v>
      </c>
      <c r="C121" s="100">
        <v>45377</v>
      </c>
      <c r="D121" s="106" t="s">
        <v>135</v>
      </c>
      <c r="E121" s="107" t="s">
        <v>166</v>
      </c>
      <c r="F121" s="39">
        <v>1</v>
      </c>
      <c r="G121" s="78" t="s">
        <v>451</v>
      </c>
      <c r="H121" s="79">
        <v>2753.6</v>
      </c>
      <c r="I121" s="79">
        <f t="shared" si="3"/>
        <v>91.786666666666662</v>
      </c>
      <c r="J121" s="79">
        <f t="shared" si="4"/>
        <v>2753.6</v>
      </c>
      <c r="K121" s="79">
        <f t="shared" si="5"/>
        <v>2753.6</v>
      </c>
    </row>
    <row r="122" spans="1:11" ht="78.75">
      <c r="A122" s="225" t="s">
        <v>1515</v>
      </c>
      <c r="B122" s="234" t="s">
        <v>1516</v>
      </c>
      <c r="C122" s="100">
        <v>45377</v>
      </c>
      <c r="D122" s="106"/>
      <c r="E122" s="107" t="s">
        <v>143</v>
      </c>
      <c r="F122" s="39">
        <v>1</v>
      </c>
      <c r="G122" s="78" t="s">
        <v>451</v>
      </c>
      <c r="H122" s="79">
        <v>55097.25</v>
      </c>
      <c r="I122" s="79">
        <f t="shared" si="3"/>
        <v>1836.575</v>
      </c>
      <c r="J122" s="79">
        <f t="shared" si="4"/>
        <v>55097.25</v>
      </c>
      <c r="K122" s="79">
        <f t="shared" si="5"/>
        <v>55097.25</v>
      </c>
    </row>
    <row r="123" spans="1:11" ht="78.75">
      <c r="A123" s="225" t="s">
        <v>1515</v>
      </c>
      <c r="B123" s="234" t="s">
        <v>1516</v>
      </c>
      <c r="C123" s="100">
        <v>45377</v>
      </c>
      <c r="D123" s="106" t="s">
        <v>135</v>
      </c>
      <c r="E123" s="107" t="s">
        <v>136</v>
      </c>
      <c r="F123" s="39">
        <v>2</v>
      </c>
      <c r="G123" s="78" t="s">
        <v>508</v>
      </c>
      <c r="H123" s="79">
        <v>9943.5</v>
      </c>
      <c r="I123" s="79">
        <f t="shared" si="3"/>
        <v>331.45</v>
      </c>
      <c r="J123" s="79">
        <f t="shared" si="4"/>
        <v>9943.5</v>
      </c>
      <c r="K123" s="79">
        <f>+F123*J123</f>
        <v>19887</v>
      </c>
    </row>
    <row r="124" spans="1:11" ht="78.75">
      <c r="A124" s="233" t="s">
        <v>1513</v>
      </c>
      <c r="B124" s="229" t="s">
        <v>1514</v>
      </c>
      <c r="C124" s="100">
        <v>45377</v>
      </c>
      <c r="D124" s="106"/>
      <c r="E124" s="107" t="s">
        <v>156</v>
      </c>
      <c r="F124" s="39">
        <v>1</v>
      </c>
      <c r="G124" s="78" t="s">
        <v>508</v>
      </c>
      <c r="H124" s="79">
        <v>19469.25</v>
      </c>
      <c r="I124" s="79">
        <f t="shared" si="3"/>
        <v>648.97500000000002</v>
      </c>
      <c r="J124" s="79">
        <f t="shared" si="4"/>
        <v>19469.25</v>
      </c>
      <c r="K124" s="79">
        <f t="shared" si="5"/>
        <v>19469.25</v>
      </c>
    </row>
    <row r="125" spans="1:11" ht="78.75">
      <c r="A125" s="233" t="s">
        <v>1513</v>
      </c>
      <c r="B125" s="229" t="s">
        <v>1514</v>
      </c>
      <c r="C125" s="100">
        <v>45377</v>
      </c>
      <c r="D125" s="106" t="s">
        <v>135</v>
      </c>
      <c r="E125" s="107" t="s">
        <v>157</v>
      </c>
      <c r="F125" s="39">
        <v>1</v>
      </c>
      <c r="G125" s="78" t="s">
        <v>450</v>
      </c>
      <c r="H125" s="79">
        <v>20188.5</v>
      </c>
      <c r="I125" s="79">
        <f t="shared" si="3"/>
        <v>672.95</v>
      </c>
      <c r="J125" s="79">
        <f t="shared" si="4"/>
        <v>20188.5</v>
      </c>
      <c r="K125" s="79">
        <f t="shared" si="5"/>
        <v>20188.5</v>
      </c>
    </row>
    <row r="126" spans="1:11" ht="78.75">
      <c r="A126" s="225" t="s">
        <v>1515</v>
      </c>
      <c r="B126" s="234" t="s">
        <v>1516</v>
      </c>
      <c r="C126" s="100">
        <v>45377</v>
      </c>
      <c r="D126" s="108"/>
      <c r="E126" s="107" t="s">
        <v>143</v>
      </c>
      <c r="F126" s="39">
        <v>1</v>
      </c>
      <c r="G126" s="78" t="s">
        <v>508</v>
      </c>
      <c r="H126" s="79">
        <v>55097.25</v>
      </c>
      <c r="I126" s="79">
        <f t="shared" si="3"/>
        <v>1836.575</v>
      </c>
      <c r="J126" s="79">
        <f t="shared" si="4"/>
        <v>55097.25</v>
      </c>
      <c r="K126" s="79">
        <f t="shared" si="5"/>
        <v>55097.25</v>
      </c>
    </row>
    <row r="127" spans="1:11" ht="78.75">
      <c r="A127" s="233" t="s">
        <v>1513</v>
      </c>
      <c r="B127" s="229" t="s">
        <v>1514</v>
      </c>
      <c r="C127" s="101">
        <v>45378</v>
      </c>
      <c r="D127" s="108" t="s">
        <v>135</v>
      </c>
      <c r="E127" s="105" t="s">
        <v>157</v>
      </c>
      <c r="F127" s="104">
        <v>17</v>
      </c>
      <c r="G127" s="78" t="s">
        <v>464</v>
      </c>
      <c r="H127" s="79">
        <v>20188.5</v>
      </c>
      <c r="I127" s="79">
        <f t="shared" si="3"/>
        <v>672.95</v>
      </c>
      <c r="J127" s="79">
        <f t="shared" si="4"/>
        <v>20188.5</v>
      </c>
      <c r="K127" s="79">
        <f t="shared" si="5"/>
        <v>343204.5</v>
      </c>
    </row>
    <row r="128" spans="1:11" ht="78.75">
      <c r="A128" s="225" t="s">
        <v>1515</v>
      </c>
      <c r="B128" s="234" t="s">
        <v>1516</v>
      </c>
      <c r="C128" s="101">
        <v>45378</v>
      </c>
      <c r="D128" s="108" t="s">
        <v>180</v>
      </c>
      <c r="E128" s="105" t="s">
        <v>181</v>
      </c>
      <c r="F128" s="104">
        <v>1</v>
      </c>
      <c r="G128" s="78" t="s">
        <v>464</v>
      </c>
      <c r="H128" s="82">
        <v>20069.25</v>
      </c>
      <c r="I128" s="79">
        <f t="shared" si="3"/>
        <v>668.97500000000002</v>
      </c>
      <c r="J128" s="79">
        <f t="shared" si="4"/>
        <v>20069.25</v>
      </c>
      <c r="K128" s="79">
        <f t="shared" si="5"/>
        <v>20069.25</v>
      </c>
    </row>
    <row r="129" spans="1:11" ht="78.75">
      <c r="A129" s="225" t="s">
        <v>1515</v>
      </c>
      <c r="B129" s="234" t="s">
        <v>1516</v>
      </c>
      <c r="C129" s="101">
        <v>45378</v>
      </c>
      <c r="D129" s="108" t="s">
        <v>182</v>
      </c>
      <c r="E129" s="105" t="s">
        <v>181</v>
      </c>
      <c r="F129" s="104">
        <v>1</v>
      </c>
      <c r="G129" s="78" t="s">
        <v>464</v>
      </c>
      <c r="H129" s="82">
        <v>20069.25</v>
      </c>
      <c r="I129" s="79">
        <f t="shared" si="3"/>
        <v>668.97500000000002</v>
      </c>
      <c r="J129" s="79">
        <f t="shared" si="4"/>
        <v>20069.25</v>
      </c>
      <c r="K129" s="79">
        <f t="shared" si="5"/>
        <v>20069.25</v>
      </c>
    </row>
    <row r="130" spans="1:11" ht="78.75">
      <c r="A130" s="225" t="s">
        <v>1515</v>
      </c>
      <c r="B130" s="234" t="s">
        <v>1516</v>
      </c>
      <c r="C130" s="101">
        <v>45378</v>
      </c>
      <c r="D130" s="108" t="s">
        <v>183</v>
      </c>
      <c r="E130" s="105" t="s">
        <v>181</v>
      </c>
      <c r="F130" s="104">
        <v>1</v>
      </c>
      <c r="G130" s="78" t="s">
        <v>464</v>
      </c>
      <c r="H130" s="82">
        <v>20069.25</v>
      </c>
      <c r="I130" s="79">
        <f t="shared" si="3"/>
        <v>668.97500000000002</v>
      </c>
      <c r="J130" s="79">
        <f t="shared" si="4"/>
        <v>20069.25</v>
      </c>
      <c r="K130" s="79">
        <f t="shared" si="5"/>
        <v>20069.25</v>
      </c>
    </row>
    <row r="131" spans="1:11" ht="78.75">
      <c r="A131" s="225" t="s">
        <v>1515</v>
      </c>
      <c r="B131" s="234" t="s">
        <v>1516</v>
      </c>
      <c r="C131" s="101">
        <v>45378</v>
      </c>
      <c r="D131" s="108" t="s">
        <v>184</v>
      </c>
      <c r="E131" s="105" t="s">
        <v>181</v>
      </c>
      <c r="F131" s="104">
        <v>1</v>
      </c>
      <c r="G131" s="78" t="s">
        <v>464</v>
      </c>
      <c r="H131" s="82">
        <v>20069.25</v>
      </c>
      <c r="I131" s="79">
        <f t="shared" ref="I131:I194" si="6">+H131/30</f>
        <v>668.97500000000002</v>
      </c>
      <c r="J131" s="79">
        <f t="shared" ref="J131:J144" si="7">+I131*30</f>
        <v>20069.25</v>
      </c>
      <c r="K131" s="79">
        <f t="shared" ref="K131:K194" si="8">+F131*J131</f>
        <v>20069.25</v>
      </c>
    </row>
    <row r="132" spans="1:11" ht="78.75">
      <c r="A132" s="225" t="s">
        <v>1515</v>
      </c>
      <c r="B132" s="234" t="s">
        <v>1516</v>
      </c>
      <c r="C132" s="101">
        <v>45378</v>
      </c>
      <c r="D132" s="108" t="s">
        <v>185</v>
      </c>
      <c r="E132" s="105" t="s">
        <v>181</v>
      </c>
      <c r="F132" s="104">
        <v>1</v>
      </c>
      <c r="G132" s="78" t="s">
        <v>464</v>
      </c>
      <c r="H132" s="82">
        <v>20069.25</v>
      </c>
      <c r="I132" s="79">
        <f t="shared" si="6"/>
        <v>668.97500000000002</v>
      </c>
      <c r="J132" s="79">
        <f t="shared" si="7"/>
        <v>20069.25</v>
      </c>
      <c r="K132" s="79">
        <f t="shared" si="8"/>
        <v>20069.25</v>
      </c>
    </row>
    <row r="133" spans="1:11" ht="78.75">
      <c r="A133" s="225" t="s">
        <v>1515</v>
      </c>
      <c r="B133" s="234" t="s">
        <v>1516</v>
      </c>
      <c r="C133" s="101">
        <v>45378</v>
      </c>
      <c r="D133" s="108" t="s">
        <v>186</v>
      </c>
      <c r="E133" s="105" t="s">
        <v>181</v>
      </c>
      <c r="F133" s="104">
        <v>1</v>
      </c>
      <c r="G133" s="78" t="s">
        <v>464</v>
      </c>
      <c r="H133" s="82">
        <v>20069.25</v>
      </c>
      <c r="I133" s="79">
        <f t="shared" si="6"/>
        <v>668.97500000000002</v>
      </c>
      <c r="J133" s="79">
        <f t="shared" si="7"/>
        <v>20069.25</v>
      </c>
      <c r="K133" s="79">
        <f t="shared" si="8"/>
        <v>20069.25</v>
      </c>
    </row>
    <row r="134" spans="1:11" ht="78.75">
      <c r="A134" s="225" t="s">
        <v>1515</v>
      </c>
      <c r="B134" s="234" t="s">
        <v>1516</v>
      </c>
      <c r="C134" s="101">
        <v>45378</v>
      </c>
      <c r="D134" s="108" t="s">
        <v>135</v>
      </c>
      <c r="E134" s="105" t="s">
        <v>136</v>
      </c>
      <c r="F134" s="104">
        <v>3</v>
      </c>
      <c r="G134" s="196" t="s">
        <v>1384</v>
      </c>
      <c r="H134" s="79">
        <v>9943.5</v>
      </c>
      <c r="I134" s="79">
        <f t="shared" si="6"/>
        <v>331.45</v>
      </c>
      <c r="J134" s="79">
        <f t="shared" si="7"/>
        <v>9943.5</v>
      </c>
      <c r="K134" s="79">
        <f>+F134*J134</f>
        <v>29830.5</v>
      </c>
    </row>
    <row r="135" spans="1:11" ht="78.75">
      <c r="A135" s="233" t="s">
        <v>1513</v>
      </c>
      <c r="B135" s="229" t="s">
        <v>1514</v>
      </c>
      <c r="C135" s="101">
        <v>45378</v>
      </c>
      <c r="D135" s="108"/>
      <c r="E135" s="105" t="s">
        <v>156</v>
      </c>
      <c r="F135" s="104">
        <v>1</v>
      </c>
      <c r="G135" s="196" t="s">
        <v>1384</v>
      </c>
      <c r="H135" s="79">
        <v>19469.25</v>
      </c>
      <c r="I135" s="79">
        <f t="shared" si="6"/>
        <v>648.97500000000002</v>
      </c>
      <c r="J135" s="79">
        <f t="shared" si="7"/>
        <v>19469.25</v>
      </c>
      <c r="K135" s="79">
        <f t="shared" si="8"/>
        <v>19469.25</v>
      </c>
    </row>
    <row r="136" spans="1:11" ht="78.75">
      <c r="A136" s="233" t="s">
        <v>1513</v>
      </c>
      <c r="B136" s="229" t="s">
        <v>1514</v>
      </c>
      <c r="C136" s="101">
        <v>45378</v>
      </c>
      <c r="D136" s="108"/>
      <c r="E136" s="105" t="s">
        <v>156</v>
      </c>
      <c r="F136" s="104">
        <v>1</v>
      </c>
      <c r="G136" s="196" t="s">
        <v>1384</v>
      </c>
      <c r="H136" s="79">
        <v>19469.25</v>
      </c>
      <c r="I136" s="79">
        <f t="shared" si="6"/>
        <v>648.97500000000002</v>
      </c>
      <c r="J136" s="79">
        <f t="shared" si="7"/>
        <v>19469.25</v>
      </c>
      <c r="K136" s="79">
        <f t="shared" si="8"/>
        <v>19469.25</v>
      </c>
    </row>
    <row r="137" spans="1:11" ht="78.75">
      <c r="A137" s="233" t="s">
        <v>1513</v>
      </c>
      <c r="B137" s="229" t="s">
        <v>1514</v>
      </c>
      <c r="C137" s="101">
        <v>45378</v>
      </c>
      <c r="D137" s="108" t="s">
        <v>135</v>
      </c>
      <c r="E137" s="105" t="s">
        <v>157</v>
      </c>
      <c r="F137" s="104">
        <v>3</v>
      </c>
      <c r="G137" s="196" t="s">
        <v>1384</v>
      </c>
      <c r="H137" s="79">
        <v>20188.5</v>
      </c>
      <c r="I137" s="79">
        <f t="shared" si="6"/>
        <v>672.95</v>
      </c>
      <c r="J137" s="79">
        <f t="shared" si="7"/>
        <v>20188.5</v>
      </c>
      <c r="K137" s="79">
        <f t="shared" si="8"/>
        <v>60565.5</v>
      </c>
    </row>
    <row r="138" spans="1:11" ht="78.75">
      <c r="A138" s="225" t="s">
        <v>1515</v>
      </c>
      <c r="B138" s="234" t="s">
        <v>1516</v>
      </c>
      <c r="C138" s="101">
        <v>45378</v>
      </c>
      <c r="D138" s="108" t="s">
        <v>135</v>
      </c>
      <c r="E138" s="105" t="s">
        <v>136</v>
      </c>
      <c r="F138" s="104">
        <v>2</v>
      </c>
      <c r="G138" s="83" t="s">
        <v>469</v>
      </c>
      <c r="H138" s="79">
        <v>9943.5</v>
      </c>
      <c r="I138" s="79">
        <f t="shared" si="6"/>
        <v>331.45</v>
      </c>
      <c r="J138" s="79">
        <f t="shared" si="7"/>
        <v>9943.5</v>
      </c>
      <c r="K138" s="79">
        <f>+F138*J138</f>
        <v>19887</v>
      </c>
    </row>
    <row r="139" spans="1:11" ht="78.75">
      <c r="A139" s="233" t="s">
        <v>1513</v>
      </c>
      <c r="B139" s="229" t="s">
        <v>1514</v>
      </c>
      <c r="C139" s="101">
        <v>45378</v>
      </c>
      <c r="D139" s="108"/>
      <c r="E139" s="105" t="s">
        <v>156</v>
      </c>
      <c r="F139" s="104">
        <v>1</v>
      </c>
      <c r="G139" s="83" t="s">
        <v>469</v>
      </c>
      <c r="H139" s="79">
        <v>19469.25</v>
      </c>
      <c r="I139" s="79">
        <f t="shared" si="6"/>
        <v>648.97500000000002</v>
      </c>
      <c r="J139" s="79">
        <f t="shared" si="7"/>
        <v>19469.25</v>
      </c>
      <c r="K139" s="79">
        <f t="shared" si="8"/>
        <v>19469.25</v>
      </c>
    </row>
    <row r="140" spans="1:11" ht="78.75">
      <c r="A140" s="233" t="s">
        <v>1513</v>
      </c>
      <c r="B140" s="229" t="s">
        <v>1514</v>
      </c>
      <c r="C140" s="101">
        <v>45378</v>
      </c>
      <c r="D140" s="108"/>
      <c r="E140" s="105" t="s">
        <v>156</v>
      </c>
      <c r="F140" s="104">
        <v>1</v>
      </c>
      <c r="G140" s="83" t="s">
        <v>469</v>
      </c>
      <c r="H140" s="79">
        <v>19469.25</v>
      </c>
      <c r="I140" s="79">
        <f t="shared" si="6"/>
        <v>648.97500000000002</v>
      </c>
      <c r="J140" s="79">
        <f t="shared" si="7"/>
        <v>19469.25</v>
      </c>
      <c r="K140" s="79">
        <f t="shared" si="8"/>
        <v>19469.25</v>
      </c>
    </row>
    <row r="141" spans="1:11" ht="78.75">
      <c r="A141" s="233" t="s">
        <v>1513</v>
      </c>
      <c r="B141" s="229" t="s">
        <v>1514</v>
      </c>
      <c r="C141" s="101">
        <v>45378</v>
      </c>
      <c r="D141" s="108" t="s">
        <v>135</v>
      </c>
      <c r="E141" s="105" t="s">
        <v>157</v>
      </c>
      <c r="F141" s="104">
        <v>1</v>
      </c>
      <c r="G141" s="83" t="s">
        <v>469</v>
      </c>
      <c r="H141" s="79">
        <v>20188.5</v>
      </c>
      <c r="I141" s="79">
        <f t="shared" si="6"/>
        <v>672.95</v>
      </c>
      <c r="J141" s="79">
        <f t="shared" si="7"/>
        <v>20188.5</v>
      </c>
      <c r="K141" s="79">
        <f t="shared" si="8"/>
        <v>20188.5</v>
      </c>
    </row>
    <row r="142" spans="1:11" ht="78.75">
      <c r="A142" s="225" t="s">
        <v>1515</v>
      </c>
      <c r="B142" s="234" t="s">
        <v>1516</v>
      </c>
      <c r="C142" s="101">
        <v>45378</v>
      </c>
      <c r="D142" s="108" t="s">
        <v>135</v>
      </c>
      <c r="E142" s="105" t="s">
        <v>136</v>
      </c>
      <c r="F142" s="104">
        <v>2</v>
      </c>
      <c r="G142" s="83" t="s">
        <v>507</v>
      </c>
      <c r="H142" s="79">
        <v>9943.5</v>
      </c>
      <c r="I142" s="79">
        <f>+H142/30</f>
        <v>331.45</v>
      </c>
      <c r="J142" s="79">
        <f t="shared" si="7"/>
        <v>9943.5</v>
      </c>
      <c r="K142" s="79">
        <f>+F142*J142</f>
        <v>19887</v>
      </c>
    </row>
    <row r="143" spans="1:11" ht="78.75">
      <c r="A143" s="233" t="s">
        <v>1513</v>
      </c>
      <c r="B143" s="229" t="s">
        <v>1514</v>
      </c>
      <c r="C143" s="101">
        <v>45378</v>
      </c>
      <c r="D143" s="108"/>
      <c r="E143" s="105" t="s">
        <v>156</v>
      </c>
      <c r="F143" s="104">
        <v>1</v>
      </c>
      <c r="G143" s="83" t="s">
        <v>507</v>
      </c>
      <c r="H143" s="79">
        <v>19469.25</v>
      </c>
      <c r="I143" s="79">
        <f t="shared" si="6"/>
        <v>648.97500000000002</v>
      </c>
      <c r="J143" s="79">
        <f t="shared" si="7"/>
        <v>19469.25</v>
      </c>
      <c r="K143" s="79">
        <f t="shared" si="8"/>
        <v>19469.25</v>
      </c>
    </row>
    <row r="144" spans="1:11" ht="78.75">
      <c r="A144" s="233" t="s">
        <v>1513</v>
      </c>
      <c r="B144" s="229" t="s">
        <v>1514</v>
      </c>
      <c r="C144" s="101">
        <v>45378</v>
      </c>
      <c r="D144" s="108" t="s">
        <v>135</v>
      </c>
      <c r="E144" s="105" t="s">
        <v>157</v>
      </c>
      <c r="F144" s="104">
        <v>2</v>
      </c>
      <c r="G144" s="83" t="s">
        <v>507</v>
      </c>
      <c r="H144" s="79">
        <v>20188.5</v>
      </c>
      <c r="I144" s="79">
        <f t="shared" si="6"/>
        <v>672.95</v>
      </c>
      <c r="J144" s="79">
        <f t="shared" si="7"/>
        <v>20188.5</v>
      </c>
      <c r="K144" s="79">
        <f>+F144*J144</f>
        <v>40377</v>
      </c>
    </row>
    <row r="145" spans="3:11">
      <c r="C145" s="101">
        <v>45377</v>
      </c>
      <c r="D145" s="108"/>
      <c r="E145" s="105" t="s">
        <v>452</v>
      </c>
      <c r="F145" s="104">
        <v>1</v>
      </c>
      <c r="G145" s="83" t="s">
        <v>451</v>
      </c>
      <c r="H145" s="82"/>
      <c r="I145" s="79">
        <f t="shared" si="6"/>
        <v>0</v>
      </c>
      <c r="J145" s="82"/>
      <c r="K145" s="79">
        <f>+F145*J145</f>
        <v>0</v>
      </c>
    </row>
    <row r="146" spans="3:11">
      <c r="C146" s="101">
        <v>45377</v>
      </c>
      <c r="D146" s="108"/>
      <c r="E146" s="105" t="s">
        <v>453</v>
      </c>
      <c r="F146" s="104">
        <v>1</v>
      </c>
      <c r="G146" s="83" t="s">
        <v>451</v>
      </c>
      <c r="H146" s="82"/>
      <c r="I146" s="79">
        <f t="shared" si="6"/>
        <v>0</v>
      </c>
      <c r="J146" s="82"/>
      <c r="K146" s="79">
        <f t="shared" si="8"/>
        <v>0</v>
      </c>
    </row>
    <row r="147" spans="3:11">
      <c r="C147" s="101">
        <v>45377</v>
      </c>
      <c r="D147" s="108"/>
      <c r="E147" s="105" t="s">
        <v>454</v>
      </c>
      <c r="F147" s="104">
        <v>1</v>
      </c>
      <c r="G147" s="78" t="s">
        <v>451</v>
      </c>
      <c r="H147" s="82"/>
      <c r="I147" s="79">
        <f t="shared" si="6"/>
        <v>0</v>
      </c>
      <c r="J147" s="82"/>
      <c r="K147" s="79">
        <f t="shared" si="8"/>
        <v>0</v>
      </c>
    </row>
    <row r="148" spans="3:11">
      <c r="C148" s="101">
        <v>45373</v>
      </c>
      <c r="D148" s="108"/>
      <c r="E148" s="105" t="s">
        <v>452</v>
      </c>
      <c r="F148" s="104">
        <v>1</v>
      </c>
      <c r="G148" s="78" t="s">
        <v>456</v>
      </c>
      <c r="H148" s="80"/>
      <c r="I148" s="79">
        <f t="shared" si="6"/>
        <v>0</v>
      </c>
      <c r="J148" s="80"/>
      <c r="K148" s="79">
        <f t="shared" si="8"/>
        <v>0</v>
      </c>
    </row>
    <row r="149" spans="3:11">
      <c r="C149" s="101">
        <v>45373</v>
      </c>
      <c r="D149" s="108"/>
      <c r="E149" s="105" t="s">
        <v>453</v>
      </c>
      <c r="F149" s="104">
        <v>1</v>
      </c>
      <c r="G149" s="78" t="s">
        <v>456</v>
      </c>
      <c r="H149" s="79"/>
      <c r="I149" s="79">
        <f t="shared" si="6"/>
        <v>0</v>
      </c>
      <c r="J149" s="79"/>
      <c r="K149" s="79">
        <f t="shared" si="8"/>
        <v>0</v>
      </c>
    </row>
    <row r="150" spans="3:11">
      <c r="C150" s="101">
        <v>45373</v>
      </c>
      <c r="D150" s="108"/>
      <c r="E150" s="105" t="s">
        <v>454</v>
      </c>
      <c r="F150" s="104">
        <v>1</v>
      </c>
      <c r="G150" s="78" t="s">
        <v>456</v>
      </c>
      <c r="H150" s="79"/>
      <c r="I150" s="79">
        <f t="shared" si="6"/>
        <v>0</v>
      </c>
      <c r="J150" s="79"/>
      <c r="K150" s="79">
        <f t="shared" si="8"/>
        <v>0</v>
      </c>
    </row>
    <row r="151" spans="3:11">
      <c r="C151" s="101">
        <v>45373</v>
      </c>
      <c r="D151" s="108"/>
      <c r="E151" s="105" t="s">
        <v>452</v>
      </c>
      <c r="F151" s="104">
        <v>2</v>
      </c>
      <c r="G151" s="78" t="s">
        <v>458</v>
      </c>
      <c r="H151" s="79"/>
      <c r="I151" s="79">
        <f t="shared" si="6"/>
        <v>0</v>
      </c>
      <c r="J151" s="79"/>
      <c r="K151" s="79">
        <f t="shared" si="8"/>
        <v>0</v>
      </c>
    </row>
    <row r="152" spans="3:11">
      <c r="C152" s="101">
        <v>45373</v>
      </c>
      <c r="D152" s="108"/>
      <c r="E152" s="105" t="s">
        <v>453</v>
      </c>
      <c r="F152" s="104">
        <v>2</v>
      </c>
      <c r="G152" s="78" t="s">
        <v>458</v>
      </c>
      <c r="H152" s="79"/>
      <c r="I152" s="79">
        <f t="shared" si="6"/>
        <v>0</v>
      </c>
      <c r="J152" s="79"/>
      <c r="K152" s="79">
        <f t="shared" si="8"/>
        <v>0</v>
      </c>
    </row>
    <row r="153" spans="3:11">
      <c r="C153" s="101">
        <v>45373</v>
      </c>
      <c r="D153" s="108"/>
      <c r="E153" s="105" t="s">
        <v>454</v>
      </c>
      <c r="F153" s="104">
        <v>2</v>
      </c>
      <c r="G153" s="78" t="s">
        <v>458</v>
      </c>
      <c r="H153" s="79"/>
      <c r="I153" s="79">
        <f t="shared" si="6"/>
        <v>0</v>
      </c>
      <c r="J153" s="79"/>
      <c r="K153" s="79">
        <f t="shared" si="8"/>
        <v>0</v>
      </c>
    </row>
    <row r="154" spans="3:11">
      <c r="C154" s="101">
        <v>45372</v>
      </c>
      <c r="D154" s="108"/>
      <c r="E154" s="105" t="s">
        <v>460</v>
      </c>
      <c r="F154" s="104">
        <v>2</v>
      </c>
      <c r="G154" s="78" t="s">
        <v>459</v>
      </c>
      <c r="H154" s="79"/>
      <c r="I154" s="79">
        <f t="shared" si="6"/>
        <v>0</v>
      </c>
      <c r="J154" s="79"/>
      <c r="K154" s="79">
        <f t="shared" si="8"/>
        <v>0</v>
      </c>
    </row>
    <row r="155" spans="3:11">
      <c r="C155" s="101">
        <v>45372</v>
      </c>
      <c r="D155" s="108"/>
      <c r="E155" s="105" t="s">
        <v>461</v>
      </c>
      <c r="F155" s="104">
        <v>2</v>
      </c>
      <c r="G155" s="78" t="s">
        <v>459</v>
      </c>
      <c r="H155" s="79"/>
      <c r="I155" s="79">
        <f t="shared" si="6"/>
        <v>0</v>
      </c>
      <c r="J155" s="79"/>
      <c r="K155" s="79">
        <f t="shared" si="8"/>
        <v>0</v>
      </c>
    </row>
    <row r="156" spans="3:11">
      <c r="C156" s="101">
        <v>45372</v>
      </c>
      <c r="D156" s="108"/>
      <c r="E156" s="105" t="s">
        <v>462</v>
      </c>
      <c r="F156" s="104">
        <v>2</v>
      </c>
      <c r="G156" s="78" t="s">
        <v>459</v>
      </c>
      <c r="H156" s="79"/>
      <c r="I156" s="79">
        <f t="shared" si="6"/>
        <v>0</v>
      </c>
      <c r="J156" s="79"/>
      <c r="K156" s="79">
        <f t="shared" si="8"/>
        <v>0</v>
      </c>
    </row>
    <row r="157" spans="3:11">
      <c r="C157" s="101">
        <v>45372</v>
      </c>
      <c r="D157" s="108"/>
      <c r="E157" s="105" t="s">
        <v>460</v>
      </c>
      <c r="F157" s="104">
        <v>1</v>
      </c>
      <c r="G157" s="78" t="s">
        <v>463</v>
      </c>
      <c r="H157" s="79"/>
      <c r="I157" s="79">
        <f t="shared" si="6"/>
        <v>0</v>
      </c>
      <c r="J157" s="79"/>
      <c r="K157" s="79">
        <f t="shared" si="8"/>
        <v>0</v>
      </c>
    </row>
    <row r="158" spans="3:11">
      <c r="C158" s="101">
        <v>45372</v>
      </c>
      <c r="D158" s="108"/>
      <c r="E158" s="105" t="s">
        <v>461</v>
      </c>
      <c r="F158" s="104">
        <v>1</v>
      </c>
      <c r="G158" s="78" t="s">
        <v>463</v>
      </c>
      <c r="H158" s="79"/>
      <c r="I158" s="79">
        <f t="shared" si="6"/>
        <v>0</v>
      </c>
      <c r="J158" s="79"/>
      <c r="K158" s="79">
        <f t="shared" si="8"/>
        <v>0</v>
      </c>
    </row>
    <row r="159" spans="3:11">
      <c r="C159" s="101">
        <v>45372</v>
      </c>
      <c r="D159" s="108"/>
      <c r="E159" s="105" t="s">
        <v>462</v>
      </c>
      <c r="F159" s="104">
        <v>1</v>
      </c>
      <c r="G159" s="78" t="s">
        <v>463</v>
      </c>
      <c r="H159" s="79"/>
      <c r="I159" s="79">
        <f t="shared" si="6"/>
        <v>0</v>
      </c>
      <c r="J159" s="79"/>
      <c r="K159" s="79">
        <f t="shared" si="8"/>
        <v>0</v>
      </c>
    </row>
    <row r="160" spans="3:11">
      <c r="C160" s="101">
        <v>45371</v>
      </c>
      <c r="D160" s="108"/>
      <c r="E160" s="105" t="s">
        <v>460</v>
      </c>
      <c r="F160" s="104">
        <v>4</v>
      </c>
      <c r="G160" s="78" t="s">
        <v>464</v>
      </c>
      <c r="H160" s="79"/>
      <c r="I160" s="79">
        <f t="shared" si="6"/>
        <v>0</v>
      </c>
      <c r="J160" s="79"/>
      <c r="K160" s="79">
        <f t="shared" si="8"/>
        <v>0</v>
      </c>
    </row>
    <row r="161" spans="1:11">
      <c r="C161" s="101">
        <v>45371</v>
      </c>
      <c r="D161" s="108"/>
      <c r="E161" s="105" t="s">
        <v>461</v>
      </c>
      <c r="F161" s="104">
        <v>4</v>
      </c>
      <c r="G161" s="78" t="s">
        <v>464</v>
      </c>
      <c r="H161" s="79"/>
      <c r="I161" s="79">
        <f t="shared" si="6"/>
        <v>0</v>
      </c>
      <c r="J161" s="79"/>
      <c r="K161" s="79">
        <f t="shared" si="8"/>
        <v>0</v>
      </c>
    </row>
    <row r="162" spans="1:11">
      <c r="C162" s="101">
        <v>45371</v>
      </c>
      <c r="D162" s="108"/>
      <c r="E162" s="105" t="s">
        <v>462</v>
      </c>
      <c r="F162" s="104">
        <v>4</v>
      </c>
      <c r="G162" s="78" t="s">
        <v>464</v>
      </c>
      <c r="H162" s="79"/>
      <c r="I162" s="79">
        <f t="shared" si="6"/>
        <v>0</v>
      </c>
      <c r="J162" s="79"/>
      <c r="K162" s="79">
        <f t="shared" si="8"/>
        <v>0</v>
      </c>
    </row>
    <row r="163" spans="1:11">
      <c r="C163" s="101">
        <v>45377</v>
      </c>
      <c r="D163" s="108"/>
      <c r="E163" s="105" t="s">
        <v>452</v>
      </c>
      <c r="F163" s="104">
        <v>1</v>
      </c>
      <c r="G163" s="78" t="s">
        <v>508</v>
      </c>
      <c r="H163" s="79"/>
      <c r="I163" s="79">
        <f t="shared" si="6"/>
        <v>0</v>
      </c>
      <c r="J163" s="79"/>
      <c r="K163" s="79">
        <f t="shared" si="8"/>
        <v>0</v>
      </c>
    </row>
    <row r="164" spans="1:11">
      <c r="C164" s="101">
        <v>45377</v>
      </c>
      <c r="D164" s="108"/>
      <c r="E164" s="105" t="s">
        <v>453</v>
      </c>
      <c r="F164" s="104">
        <v>1</v>
      </c>
      <c r="G164" s="78" t="s">
        <v>508</v>
      </c>
      <c r="H164" s="79"/>
      <c r="I164" s="79">
        <f t="shared" si="6"/>
        <v>0</v>
      </c>
      <c r="J164" s="79"/>
      <c r="K164" s="79">
        <f t="shared" si="8"/>
        <v>0</v>
      </c>
    </row>
    <row r="165" spans="1:11">
      <c r="C165" s="101">
        <v>45377</v>
      </c>
      <c r="D165" s="108"/>
      <c r="E165" s="105" t="s">
        <v>454</v>
      </c>
      <c r="F165" s="104">
        <v>1</v>
      </c>
      <c r="G165" s="78" t="s">
        <v>508</v>
      </c>
      <c r="H165" s="79"/>
      <c r="I165" s="79">
        <f t="shared" si="6"/>
        <v>0</v>
      </c>
      <c r="J165" s="79"/>
      <c r="K165" s="79">
        <f t="shared" si="8"/>
        <v>0</v>
      </c>
    </row>
    <row r="166" spans="1:11" ht="78.75">
      <c r="A166" s="225" t="s">
        <v>1515</v>
      </c>
      <c r="B166" s="234" t="s">
        <v>1516</v>
      </c>
      <c r="C166" s="193">
        <v>45404</v>
      </c>
      <c r="D166" s="194"/>
      <c r="E166" s="195" t="s">
        <v>187</v>
      </c>
      <c r="F166" s="104">
        <v>1</v>
      </c>
      <c r="G166" s="196" t="s">
        <v>1386</v>
      </c>
      <c r="H166" s="79">
        <v>87613.5</v>
      </c>
      <c r="I166" s="79">
        <f t="shared" si="6"/>
        <v>2920.45</v>
      </c>
      <c r="J166" s="79">
        <f>+I166*9</f>
        <v>26284.05</v>
      </c>
      <c r="K166" s="79">
        <f t="shared" si="8"/>
        <v>26284.05</v>
      </c>
    </row>
    <row r="167" spans="1:11" ht="78.75">
      <c r="A167" s="225" t="s">
        <v>1515</v>
      </c>
      <c r="B167" s="234" t="s">
        <v>1516</v>
      </c>
      <c r="C167" s="193">
        <v>45404</v>
      </c>
      <c r="D167" s="194"/>
      <c r="E167" s="195" t="s">
        <v>187</v>
      </c>
      <c r="F167" s="104">
        <v>1</v>
      </c>
      <c r="G167" s="196" t="s">
        <v>1386</v>
      </c>
      <c r="H167" s="79">
        <v>87613.5</v>
      </c>
      <c r="I167" s="79">
        <f t="shared" si="6"/>
        <v>2920.45</v>
      </c>
      <c r="J167" s="79">
        <f t="shared" ref="J167:J169" si="9">+I167*9</f>
        <v>26284.05</v>
      </c>
      <c r="K167" s="79">
        <f t="shared" si="8"/>
        <v>26284.05</v>
      </c>
    </row>
    <row r="168" spans="1:11">
      <c r="C168" s="193">
        <v>45404</v>
      </c>
      <c r="D168" s="194"/>
      <c r="E168" s="195" t="s">
        <v>454</v>
      </c>
      <c r="F168" s="104">
        <v>2</v>
      </c>
      <c r="G168" s="196" t="s">
        <v>1386</v>
      </c>
      <c r="H168" s="79"/>
      <c r="I168" s="79">
        <f t="shared" si="6"/>
        <v>0</v>
      </c>
      <c r="J168" s="79">
        <f t="shared" si="9"/>
        <v>0</v>
      </c>
      <c r="K168" s="79">
        <f t="shared" si="8"/>
        <v>0</v>
      </c>
    </row>
    <row r="169" spans="1:11" ht="78.75">
      <c r="A169" s="225" t="s">
        <v>1515</v>
      </c>
      <c r="B169" s="234" t="s">
        <v>1516</v>
      </c>
      <c r="C169" s="193">
        <v>45404</v>
      </c>
      <c r="D169" s="194"/>
      <c r="E169" s="195" t="s">
        <v>187</v>
      </c>
      <c r="F169" s="104">
        <v>1</v>
      </c>
      <c r="G169" s="78" t="s">
        <v>455</v>
      </c>
      <c r="H169" s="79">
        <v>87613.5</v>
      </c>
      <c r="I169" s="79">
        <f t="shared" si="6"/>
        <v>2920.45</v>
      </c>
      <c r="J169" s="79">
        <f t="shared" si="9"/>
        <v>26284.05</v>
      </c>
      <c r="K169" s="79">
        <f t="shared" si="8"/>
        <v>26284.05</v>
      </c>
    </row>
    <row r="170" spans="1:11">
      <c r="C170" s="193">
        <v>45404</v>
      </c>
      <c r="D170" s="194"/>
      <c r="E170" s="195" t="s">
        <v>454</v>
      </c>
      <c r="F170" s="104">
        <v>1</v>
      </c>
      <c r="G170" s="78" t="s">
        <v>455</v>
      </c>
      <c r="H170" s="79"/>
      <c r="I170" s="79">
        <f t="shared" si="6"/>
        <v>0</v>
      </c>
      <c r="J170" s="79">
        <f>+I170*9</f>
        <v>0</v>
      </c>
      <c r="K170" s="79">
        <f t="shared" si="8"/>
        <v>0</v>
      </c>
    </row>
    <row r="171" spans="1:11" ht="78.75">
      <c r="A171" s="225" t="s">
        <v>1515</v>
      </c>
      <c r="B171" s="234" t="s">
        <v>1516</v>
      </c>
      <c r="C171" s="193">
        <v>45401</v>
      </c>
      <c r="D171" s="194"/>
      <c r="E171" s="195" t="s">
        <v>187</v>
      </c>
      <c r="F171" s="104">
        <v>1</v>
      </c>
      <c r="G171" s="196" t="s">
        <v>1375</v>
      </c>
      <c r="H171" s="79">
        <v>87613.5</v>
      </c>
      <c r="I171" s="79">
        <f t="shared" si="6"/>
        <v>2920.45</v>
      </c>
      <c r="J171" s="79">
        <f>+I171*12</f>
        <v>35045.399999999994</v>
      </c>
      <c r="K171" s="79">
        <f t="shared" si="8"/>
        <v>35045.399999999994</v>
      </c>
    </row>
    <row r="172" spans="1:11">
      <c r="C172" s="193">
        <v>45401</v>
      </c>
      <c r="D172" s="194"/>
      <c r="E172" s="195" t="s">
        <v>454</v>
      </c>
      <c r="F172" s="104">
        <v>1</v>
      </c>
      <c r="G172" s="196" t="s">
        <v>1375</v>
      </c>
      <c r="H172" s="79"/>
      <c r="I172" s="79">
        <f t="shared" si="6"/>
        <v>0</v>
      </c>
      <c r="J172" s="79">
        <f t="shared" ref="J172:J193" si="10">+I172*12</f>
        <v>0</v>
      </c>
      <c r="K172" s="79">
        <f t="shared" si="8"/>
        <v>0</v>
      </c>
    </row>
    <row r="173" spans="1:11" ht="78.75">
      <c r="A173" s="225" t="s">
        <v>1515</v>
      </c>
      <c r="B173" s="234" t="s">
        <v>1516</v>
      </c>
      <c r="C173" s="193">
        <v>45401</v>
      </c>
      <c r="D173" s="194"/>
      <c r="E173" s="107" t="s">
        <v>1376</v>
      </c>
      <c r="F173" s="104">
        <v>1</v>
      </c>
      <c r="G173" s="196" t="s">
        <v>1377</v>
      </c>
      <c r="H173" s="79">
        <v>56557.5</v>
      </c>
      <c r="I173" s="79">
        <f t="shared" si="6"/>
        <v>1885.25</v>
      </c>
      <c r="J173" s="79">
        <f t="shared" si="10"/>
        <v>22623</v>
      </c>
      <c r="K173" s="79">
        <f t="shared" si="8"/>
        <v>22623</v>
      </c>
    </row>
    <row r="174" spans="1:11">
      <c r="C174" s="193">
        <v>45401</v>
      </c>
      <c r="D174" s="194"/>
      <c r="E174" s="105" t="s">
        <v>452</v>
      </c>
      <c r="F174" s="104">
        <v>1</v>
      </c>
      <c r="G174" s="196" t="s">
        <v>1377</v>
      </c>
      <c r="H174" s="79"/>
      <c r="I174" s="79">
        <f t="shared" si="6"/>
        <v>0</v>
      </c>
      <c r="J174" s="79">
        <f t="shared" si="10"/>
        <v>0</v>
      </c>
      <c r="K174" s="79">
        <f t="shared" si="8"/>
        <v>0</v>
      </c>
    </row>
    <row r="175" spans="1:11">
      <c r="C175" s="193">
        <v>45401</v>
      </c>
      <c r="D175" s="194"/>
      <c r="E175" s="195" t="s">
        <v>454</v>
      </c>
      <c r="F175" s="104">
        <v>1</v>
      </c>
      <c r="G175" s="196" t="s">
        <v>1377</v>
      </c>
      <c r="H175" s="79"/>
      <c r="I175" s="79">
        <f t="shared" si="6"/>
        <v>0</v>
      </c>
      <c r="J175" s="79">
        <f t="shared" si="10"/>
        <v>0</v>
      </c>
      <c r="K175" s="79">
        <f t="shared" si="8"/>
        <v>0</v>
      </c>
    </row>
    <row r="176" spans="1:11" ht="78.75">
      <c r="A176" s="225" t="s">
        <v>1515</v>
      </c>
      <c r="B176" s="234" t="s">
        <v>1516</v>
      </c>
      <c r="C176" s="193">
        <v>45401</v>
      </c>
      <c r="D176" s="194"/>
      <c r="E176" s="107" t="s">
        <v>1376</v>
      </c>
      <c r="F176" s="104">
        <v>1</v>
      </c>
      <c r="G176" s="196" t="s">
        <v>1378</v>
      </c>
      <c r="H176" s="79">
        <v>56557.5</v>
      </c>
      <c r="I176" s="79">
        <f t="shared" si="6"/>
        <v>1885.25</v>
      </c>
      <c r="J176" s="79">
        <f t="shared" si="10"/>
        <v>22623</v>
      </c>
      <c r="K176" s="79">
        <f t="shared" si="8"/>
        <v>22623</v>
      </c>
    </row>
    <row r="177" spans="1:11">
      <c r="C177" s="193">
        <v>45401</v>
      </c>
      <c r="D177" s="194"/>
      <c r="E177" s="105" t="s">
        <v>452</v>
      </c>
      <c r="F177" s="104">
        <v>1</v>
      </c>
      <c r="G177" s="196" t="s">
        <v>1378</v>
      </c>
      <c r="H177" s="79"/>
      <c r="I177" s="79">
        <f t="shared" si="6"/>
        <v>0</v>
      </c>
      <c r="J177" s="79">
        <f t="shared" si="10"/>
        <v>0</v>
      </c>
      <c r="K177" s="79">
        <f t="shared" si="8"/>
        <v>0</v>
      </c>
    </row>
    <row r="178" spans="1:11">
      <c r="C178" s="193">
        <v>45401</v>
      </c>
      <c r="D178" s="194"/>
      <c r="E178" s="195" t="s">
        <v>454</v>
      </c>
      <c r="F178" s="104">
        <v>1</v>
      </c>
      <c r="G178" s="196" t="s">
        <v>1378</v>
      </c>
      <c r="H178" s="79"/>
      <c r="I178" s="79">
        <f t="shared" si="6"/>
        <v>0</v>
      </c>
      <c r="J178" s="79">
        <f t="shared" si="10"/>
        <v>0</v>
      </c>
      <c r="K178" s="79">
        <f t="shared" si="8"/>
        <v>0</v>
      </c>
    </row>
    <row r="179" spans="1:11" ht="78.75">
      <c r="A179" s="225" t="s">
        <v>1515</v>
      </c>
      <c r="B179" s="234" t="s">
        <v>1516</v>
      </c>
      <c r="C179" s="193">
        <v>45401</v>
      </c>
      <c r="D179" s="194"/>
      <c r="E179" s="107" t="s">
        <v>1376</v>
      </c>
      <c r="F179" s="104">
        <v>1</v>
      </c>
      <c r="G179" s="196" t="s">
        <v>1379</v>
      </c>
      <c r="H179" s="79">
        <v>56557.5</v>
      </c>
      <c r="I179" s="79">
        <f t="shared" si="6"/>
        <v>1885.25</v>
      </c>
      <c r="J179" s="79">
        <f t="shared" si="10"/>
        <v>22623</v>
      </c>
      <c r="K179" s="79">
        <f t="shared" si="8"/>
        <v>22623</v>
      </c>
    </row>
    <row r="180" spans="1:11">
      <c r="C180" s="193">
        <v>45401</v>
      </c>
      <c r="D180" s="194"/>
      <c r="E180" s="105" t="s">
        <v>452</v>
      </c>
      <c r="F180" s="104">
        <v>1</v>
      </c>
      <c r="G180" s="196" t="s">
        <v>1379</v>
      </c>
      <c r="H180" s="79"/>
      <c r="I180" s="79">
        <f t="shared" si="6"/>
        <v>0</v>
      </c>
      <c r="J180" s="79">
        <f t="shared" si="10"/>
        <v>0</v>
      </c>
      <c r="K180" s="79">
        <f t="shared" si="8"/>
        <v>0</v>
      </c>
    </row>
    <row r="181" spans="1:11">
      <c r="C181" s="193">
        <v>45401</v>
      </c>
      <c r="D181" s="194"/>
      <c r="E181" s="195" t="s">
        <v>454</v>
      </c>
      <c r="F181" s="104">
        <v>1</v>
      </c>
      <c r="G181" s="196" t="s">
        <v>1379</v>
      </c>
      <c r="H181" s="79"/>
      <c r="I181" s="79">
        <f t="shared" si="6"/>
        <v>0</v>
      </c>
      <c r="J181" s="79">
        <f t="shared" si="10"/>
        <v>0</v>
      </c>
      <c r="K181" s="79">
        <f t="shared" si="8"/>
        <v>0</v>
      </c>
    </row>
    <row r="182" spans="1:11" ht="78.75">
      <c r="A182" s="225" t="s">
        <v>1515</v>
      </c>
      <c r="B182" s="234" t="s">
        <v>1516</v>
      </c>
      <c r="C182" s="193">
        <v>45401</v>
      </c>
      <c r="D182" s="194"/>
      <c r="E182" s="107" t="s">
        <v>1376</v>
      </c>
      <c r="F182" s="104">
        <v>1</v>
      </c>
      <c r="G182" s="196" t="s">
        <v>1380</v>
      </c>
      <c r="H182" s="79">
        <v>56557.5</v>
      </c>
      <c r="I182" s="79">
        <f t="shared" si="6"/>
        <v>1885.25</v>
      </c>
      <c r="J182" s="79">
        <f t="shared" si="10"/>
        <v>22623</v>
      </c>
      <c r="K182" s="79">
        <f t="shared" si="8"/>
        <v>22623</v>
      </c>
    </row>
    <row r="183" spans="1:11">
      <c r="C183" s="193">
        <v>45401</v>
      </c>
      <c r="D183" s="194"/>
      <c r="E183" s="105" t="s">
        <v>452</v>
      </c>
      <c r="F183" s="104">
        <v>1</v>
      </c>
      <c r="G183" s="196" t="s">
        <v>1380</v>
      </c>
      <c r="H183" s="79"/>
      <c r="I183" s="79">
        <f t="shared" si="6"/>
        <v>0</v>
      </c>
      <c r="J183" s="79">
        <f t="shared" si="10"/>
        <v>0</v>
      </c>
      <c r="K183" s="79">
        <f t="shared" si="8"/>
        <v>0</v>
      </c>
    </row>
    <row r="184" spans="1:11">
      <c r="C184" s="193">
        <v>45401</v>
      </c>
      <c r="D184" s="194"/>
      <c r="E184" s="195" t="s">
        <v>454</v>
      </c>
      <c r="F184" s="104">
        <v>1</v>
      </c>
      <c r="G184" s="196" t="s">
        <v>1380</v>
      </c>
      <c r="H184" s="79"/>
      <c r="I184" s="79">
        <f t="shared" si="6"/>
        <v>0</v>
      </c>
      <c r="J184" s="79">
        <f t="shared" si="10"/>
        <v>0</v>
      </c>
      <c r="K184" s="79">
        <f t="shared" si="8"/>
        <v>0</v>
      </c>
    </row>
    <row r="185" spans="1:11" ht="78.75">
      <c r="A185" s="225" t="s">
        <v>1515</v>
      </c>
      <c r="B185" s="234" t="s">
        <v>1516</v>
      </c>
      <c r="C185" s="193">
        <v>45401</v>
      </c>
      <c r="D185" s="194"/>
      <c r="E185" s="195" t="s">
        <v>187</v>
      </c>
      <c r="F185" s="104">
        <v>1</v>
      </c>
      <c r="G185" s="196" t="s">
        <v>1381</v>
      </c>
      <c r="H185" s="79">
        <v>87613.5</v>
      </c>
      <c r="I185" s="79">
        <f t="shared" si="6"/>
        <v>2920.45</v>
      </c>
      <c r="J185" s="79">
        <f t="shared" si="10"/>
        <v>35045.399999999994</v>
      </c>
      <c r="K185" s="79">
        <f t="shared" si="8"/>
        <v>35045.399999999994</v>
      </c>
    </row>
    <row r="186" spans="1:11">
      <c r="C186" s="193">
        <v>45401</v>
      </c>
      <c r="D186" s="194"/>
      <c r="E186" s="195" t="s">
        <v>454</v>
      </c>
      <c r="F186" s="104">
        <v>1</v>
      </c>
      <c r="G186" s="196" t="s">
        <v>1381</v>
      </c>
      <c r="H186" s="79"/>
      <c r="I186" s="79">
        <f t="shared" si="6"/>
        <v>0</v>
      </c>
      <c r="J186" s="79">
        <f t="shared" si="10"/>
        <v>0</v>
      </c>
      <c r="K186" s="79">
        <f t="shared" si="8"/>
        <v>0</v>
      </c>
    </row>
    <row r="187" spans="1:11" ht="78.75">
      <c r="A187" s="225" t="s">
        <v>1515</v>
      </c>
      <c r="B187" s="234" t="s">
        <v>1516</v>
      </c>
      <c r="C187" s="193">
        <v>45401</v>
      </c>
      <c r="D187" s="194"/>
      <c r="E187" s="195" t="s">
        <v>187</v>
      </c>
      <c r="F187" s="104">
        <v>1</v>
      </c>
      <c r="G187" s="196" t="s">
        <v>1382</v>
      </c>
      <c r="H187" s="79">
        <v>87613.5</v>
      </c>
      <c r="I187" s="79">
        <f t="shared" si="6"/>
        <v>2920.45</v>
      </c>
      <c r="J187" s="79">
        <f t="shared" si="10"/>
        <v>35045.399999999994</v>
      </c>
      <c r="K187" s="79">
        <f t="shared" si="8"/>
        <v>35045.399999999994</v>
      </c>
    </row>
    <row r="188" spans="1:11">
      <c r="C188" s="193">
        <v>45401</v>
      </c>
      <c r="D188" s="194"/>
      <c r="E188" s="195" t="s">
        <v>454</v>
      </c>
      <c r="F188" s="104">
        <v>1</v>
      </c>
      <c r="G188" s="196" t="s">
        <v>1382</v>
      </c>
      <c r="H188" s="79"/>
      <c r="I188" s="79">
        <f t="shared" si="6"/>
        <v>0</v>
      </c>
      <c r="J188" s="79">
        <f t="shared" si="10"/>
        <v>0</v>
      </c>
      <c r="K188" s="79">
        <f t="shared" si="8"/>
        <v>0</v>
      </c>
    </row>
    <row r="189" spans="1:11" ht="78.75">
      <c r="A189" s="225" t="s">
        <v>1515</v>
      </c>
      <c r="B189" s="234" t="s">
        <v>1516</v>
      </c>
      <c r="C189" s="193">
        <v>45401</v>
      </c>
      <c r="D189" s="194"/>
      <c r="E189" s="195" t="s">
        <v>187</v>
      </c>
      <c r="F189" s="104">
        <v>1</v>
      </c>
      <c r="G189" s="196" t="s">
        <v>1383</v>
      </c>
      <c r="H189" s="79">
        <v>87613.5</v>
      </c>
      <c r="I189" s="79">
        <f t="shared" si="6"/>
        <v>2920.45</v>
      </c>
      <c r="J189" s="79">
        <f t="shared" si="10"/>
        <v>35045.399999999994</v>
      </c>
      <c r="K189" s="79">
        <f t="shared" si="8"/>
        <v>35045.399999999994</v>
      </c>
    </row>
    <row r="190" spans="1:11">
      <c r="C190" s="193">
        <v>45401</v>
      </c>
      <c r="D190" s="194"/>
      <c r="E190" s="195" t="s">
        <v>454</v>
      </c>
      <c r="F190" s="104">
        <v>1</v>
      </c>
      <c r="G190" s="196" t="s">
        <v>1383</v>
      </c>
      <c r="H190" s="79"/>
      <c r="I190" s="79">
        <f t="shared" si="6"/>
        <v>0</v>
      </c>
      <c r="J190" s="79">
        <f t="shared" si="10"/>
        <v>0</v>
      </c>
      <c r="K190" s="79">
        <f t="shared" si="8"/>
        <v>0</v>
      </c>
    </row>
    <row r="191" spans="1:11" ht="78.75">
      <c r="A191" s="225" t="s">
        <v>1515</v>
      </c>
      <c r="B191" s="234" t="s">
        <v>1516</v>
      </c>
      <c r="C191" s="193">
        <v>45401</v>
      </c>
      <c r="D191" s="194"/>
      <c r="E191" s="107" t="s">
        <v>1376</v>
      </c>
      <c r="F191" s="104">
        <v>1</v>
      </c>
      <c r="G191" s="78" t="s">
        <v>450</v>
      </c>
      <c r="H191" s="79">
        <v>56557.5</v>
      </c>
      <c r="I191" s="79">
        <f t="shared" si="6"/>
        <v>1885.25</v>
      </c>
      <c r="J191" s="79">
        <f t="shared" si="10"/>
        <v>22623</v>
      </c>
      <c r="K191" s="79">
        <f t="shared" si="8"/>
        <v>22623</v>
      </c>
    </row>
    <row r="192" spans="1:11">
      <c r="C192" s="193">
        <v>45401</v>
      </c>
      <c r="D192" s="194"/>
      <c r="E192" s="105" t="s">
        <v>452</v>
      </c>
      <c r="F192" s="104">
        <v>1</v>
      </c>
      <c r="G192" s="78" t="s">
        <v>450</v>
      </c>
      <c r="H192" s="79"/>
      <c r="I192" s="79">
        <f t="shared" si="6"/>
        <v>0</v>
      </c>
      <c r="J192" s="79">
        <f t="shared" si="10"/>
        <v>0</v>
      </c>
      <c r="K192" s="79">
        <f t="shared" si="8"/>
        <v>0</v>
      </c>
    </row>
    <row r="193" spans="1:11">
      <c r="C193" s="193">
        <v>45401</v>
      </c>
      <c r="D193" s="194"/>
      <c r="E193" s="195" t="s">
        <v>454</v>
      </c>
      <c r="F193" s="104">
        <v>1</v>
      </c>
      <c r="G193" s="78" t="s">
        <v>450</v>
      </c>
      <c r="H193" s="79"/>
      <c r="I193" s="79">
        <f t="shared" si="6"/>
        <v>0</v>
      </c>
      <c r="J193" s="79">
        <f t="shared" si="10"/>
        <v>0</v>
      </c>
      <c r="K193" s="79">
        <f t="shared" si="8"/>
        <v>0</v>
      </c>
    </row>
    <row r="194" spans="1:11" ht="78.75">
      <c r="A194" s="225" t="s">
        <v>1515</v>
      </c>
      <c r="B194" s="234" t="s">
        <v>1516</v>
      </c>
      <c r="C194" s="193">
        <v>45399</v>
      </c>
      <c r="D194" s="194"/>
      <c r="E194" s="195" t="s">
        <v>187</v>
      </c>
      <c r="F194" s="104">
        <v>1</v>
      </c>
      <c r="G194" s="196" t="s">
        <v>465</v>
      </c>
      <c r="H194" s="79">
        <v>87613.5</v>
      </c>
      <c r="I194" s="79">
        <f t="shared" si="6"/>
        <v>2920.45</v>
      </c>
      <c r="J194" s="79">
        <f>+I194*14</f>
        <v>40886.299999999996</v>
      </c>
      <c r="K194" s="79">
        <f t="shared" si="8"/>
        <v>40886.299999999996</v>
      </c>
    </row>
    <row r="195" spans="1:11">
      <c r="C195" s="193">
        <v>45399</v>
      </c>
      <c r="D195" s="194"/>
      <c r="E195" s="195" t="s">
        <v>454</v>
      </c>
      <c r="F195" s="104">
        <v>1</v>
      </c>
      <c r="G195" s="196" t="s">
        <v>465</v>
      </c>
      <c r="H195" s="79"/>
      <c r="I195" s="79">
        <f t="shared" ref="I195:I258" si="11">+H195/30</f>
        <v>0</v>
      </c>
      <c r="J195" s="79">
        <f t="shared" ref="J195:J203" si="12">+I195*14</f>
        <v>0</v>
      </c>
      <c r="K195" s="79">
        <f t="shared" ref="K195:K258" si="13">+F195*J195</f>
        <v>0</v>
      </c>
    </row>
    <row r="196" spans="1:11" ht="78.75">
      <c r="A196" s="225" t="s">
        <v>1515</v>
      </c>
      <c r="B196" s="234" t="s">
        <v>1516</v>
      </c>
      <c r="C196" s="193">
        <v>45399</v>
      </c>
      <c r="D196" s="194"/>
      <c r="E196" s="107" t="s">
        <v>1376</v>
      </c>
      <c r="F196" s="104">
        <v>1</v>
      </c>
      <c r="G196" s="83" t="s">
        <v>469</v>
      </c>
      <c r="H196" s="79">
        <v>56557.5</v>
      </c>
      <c r="I196" s="79">
        <f t="shared" si="11"/>
        <v>1885.25</v>
      </c>
      <c r="J196" s="79">
        <f t="shared" si="12"/>
        <v>26393.5</v>
      </c>
      <c r="K196" s="79">
        <f t="shared" si="13"/>
        <v>26393.5</v>
      </c>
    </row>
    <row r="197" spans="1:11">
      <c r="C197" s="193">
        <v>45399</v>
      </c>
      <c r="D197" s="194"/>
      <c r="E197" s="105" t="s">
        <v>452</v>
      </c>
      <c r="F197" s="104">
        <v>1</v>
      </c>
      <c r="G197" s="83" t="s">
        <v>469</v>
      </c>
      <c r="H197" s="79"/>
      <c r="I197" s="79">
        <f t="shared" si="11"/>
        <v>0</v>
      </c>
      <c r="J197" s="79">
        <f t="shared" si="12"/>
        <v>0</v>
      </c>
      <c r="K197" s="79">
        <f t="shared" si="13"/>
        <v>0</v>
      </c>
    </row>
    <row r="198" spans="1:11">
      <c r="C198" s="193">
        <v>45399</v>
      </c>
      <c r="D198" s="194"/>
      <c r="E198" s="195" t="s">
        <v>454</v>
      </c>
      <c r="F198" s="104">
        <v>1</v>
      </c>
      <c r="G198" s="83" t="s">
        <v>469</v>
      </c>
      <c r="H198" s="79"/>
      <c r="I198" s="79">
        <f t="shared" si="11"/>
        <v>0</v>
      </c>
      <c r="J198" s="79">
        <f t="shared" si="12"/>
        <v>0</v>
      </c>
      <c r="K198" s="79">
        <f t="shared" si="13"/>
        <v>0</v>
      </c>
    </row>
    <row r="199" spans="1:11" ht="78.75">
      <c r="A199" s="225" t="s">
        <v>1515</v>
      </c>
      <c r="B199" s="234" t="s">
        <v>1516</v>
      </c>
      <c r="C199" s="193">
        <v>45399</v>
      </c>
      <c r="D199" s="194"/>
      <c r="E199" s="195" t="s">
        <v>187</v>
      </c>
      <c r="F199" s="104">
        <v>1</v>
      </c>
      <c r="G199" s="196" t="s">
        <v>1384</v>
      </c>
      <c r="H199" s="79">
        <v>87613.5</v>
      </c>
      <c r="I199" s="79">
        <f t="shared" si="11"/>
        <v>2920.45</v>
      </c>
      <c r="J199" s="79">
        <f t="shared" si="12"/>
        <v>40886.299999999996</v>
      </c>
      <c r="K199" s="79">
        <f t="shared" si="13"/>
        <v>40886.299999999996</v>
      </c>
    </row>
    <row r="200" spans="1:11">
      <c r="C200" s="193">
        <v>45399</v>
      </c>
      <c r="D200" s="194"/>
      <c r="E200" s="195" t="s">
        <v>454</v>
      </c>
      <c r="F200" s="104">
        <v>1</v>
      </c>
      <c r="G200" s="196" t="s">
        <v>1384</v>
      </c>
      <c r="H200" s="79"/>
      <c r="I200" s="79">
        <f t="shared" si="11"/>
        <v>0</v>
      </c>
      <c r="J200" s="79">
        <f t="shared" si="12"/>
        <v>0</v>
      </c>
      <c r="K200" s="79">
        <f t="shared" si="13"/>
        <v>0</v>
      </c>
    </row>
    <row r="201" spans="1:11" ht="78.75">
      <c r="A201" s="225" t="s">
        <v>1515</v>
      </c>
      <c r="B201" s="234" t="s">
        <v>1516</v>
      </c>
      <c r="C201" s="193">
        <v>45399</v>
      </c>
      <c r="D201" s="194"/>
      <c r="E201" s="107" t="s">
        <v>1376</v>
      </c>
      <c r="F201" s="104">
        <v>1</v>
      </c>
      <c r="G201" s="83" t="s">
        <v>507</v>
      </c>
      <c r="H201" s="79">
        <v>56557.5</v>
      </c>
      <c r="I201" s="79">
        <f t="shared" si="11"/>
        <v>1885.25</v>
      </c>
      <c r="J201" s="79">
        <f t="shared" si="12"/>
        <v>26393.5</v>
      </c>
      <c r="K201" s="79">
        <f t="shared" si="13"/>
        <v>26393.5</v>
      </c>
    </row>
    <row r="202" spans="1:11">
      <c r="C202" s="193">
        <v>45399</v>
      </c>
      <c r="D202" s="194"/>
      <c r="E202" s="105" t="s">
        <v>452</v>
      </c>
      <c r="F202" s="104">
        <v>1</v>
      </c>
      <c r="G202" s="83" t="s">
        <v>507</v>
      </c>
      <c r="H202" s="79"/>
      <c r="I202" s="79">
        <f t="shared" si="11"/>
        <v>0</v>
      </c>
      <c r="J202" s="79">
        <f t="shared" si="12"/>
        <v>0</v>
      </c>
      <c r="K202" s="79">
        <f t="shared" si="13"/>
        <v>0</v>
      </c>
    </row>
    <row r="203" spans="1:11">
      <c r="C203" s="193">
        <v>45399</v>
      </c>
      <c r="D203" s="194"/>
      <c r="E203" s="195" t="s">
        <v>454</v>
      </c>
      <c r="F203" s="104">
        <v>1</v>
      </c>
      <c r="G203" s="83" t="s">
        <v>507</v>
      </c>
      <c r="H203" s="79"/>
      <c r="I203" s="79">
        <f t="shared" si="11"/>
        <v>0</v>
      </c>
      <c r="J203" s="79">
        <f t="shared" si="12"/>
        <v>0</v>
      </c>
      <c r="K203" s="79">
        <f t="shared" si="13"/>
        <v>0</v>
      </c>
    </row>
    <row r="204" spans="1:11" ht="78.75">
      <c r="A204" s="225" t="s">
        <v>1515</v>
      </c>
      <c r="B204" s="234" t="s">
        <v>1516</v>
      </c>
      <c r="C204" s="193">
        <v>45394</v>
      </c>
      <c r="D204" s="194"/>
      <c r="E204" s="195" t="s">
        <v>1385</v>
      </c>
      <c r="F204" s="104">
        <v>1</v>
      </c>
      <c r="G204" s="196" t="s">
        <v>464</v>
      </c>
      <c r="H204" s="79">
        <v>65444.25</v>
      </c>
      <c r="I204" s="79">
        <f t="shared" si="11"/>
        <v>2181.4749999999999</v>
      </c>
      <c r="J204" s="79">
        <f>+I204*19</f>
        <v>41448.025000000001</v>
      </c>
      <c r="K204" s="79">
        <f t="shared" si="13"/>
        <v>41448.025000000001</v>
      </c>
    </row>
    <row r="205" spans="1:11" ht="78.75">
      <c r="A205" s="225" t="s">
        <v>1515</v>
      </c>
      <c r="B205" s="234" t="s">
        <v>1516</v>
      </c>
      <c r="C205" s="193">
        <v>45394</v>
      </c>
      <c r="D205" s="194"/>
      <c r="E205" s="195" t="s">
        <v>1385</v>
      </c>
      <c r="F205" s="104">
        <v>1</v>
      </c>
      <c r="G205" s="196" t="s">
        <v>464</v>
      </c>
      <c r="H205" s="79">
        <v>65444.25</v>
      </c>
      <c r="I205" s="79">
        <f t="shared" si="11"/>
        <v>2181.4749999999999</v>
      </c>
      <c r="J205" s="79">
        <f t="shared" ref="J205:J206" si="14">+I205*19</f>
        <v>41448.025000000001</v>
      </c>
      <c r="K205" s="79">
        <f t="shared" si="13"/>
        <v>41448.025000000001</v>
      </c>
    </row>
    <row r="206" spans="1:11" ht="78.75">
      <c r="A206" s="225" t="s">
        <v>1515</v>
      </c>
      <c r="B206" s="234" t="s">
        <v>1516</v>
      </c>
      <c r="C206" s="193">
        <v>45394</v>
      </c>
      <c r="D206" s="194"/>
      <c r="E206" s="195" t="s">
        <v>1385</v>
      </c>
      <c r="F206" s="104">
        <v>1</v>
      </c>
      <c r="G206" s="196" t="s">
        <v>464</v>
      </c>
      <c r="H206" s="79">
        <v>65444.25</v>
      </c>
      <c r="I206" s="79">
        <f t="shared" si="11"/>
        <v>2181.4749999999999</v>
      </c>
      <c r="J206" s="79">
        <f t="shared" si="14"/>
        <v>41448.025000000001</v>
      </c>
      <c r="K206" s="79">
        <f t="shared" si="13"/>
        <v>41448.025000000001</v>
      </c>
    </row>
    <row r="207" spans="1:11" ht="78.75">
      <c r="A207" s="225" t="s">
        <v>1515</v>
      </c>
      <c r="B207" s="234" t="s">
        <v>1516</v>
      </c>
      <c r="C207" s="193">
        <v>45393</v>
      </c>
      <c r="D207" s="194"/>
      <c r="E207" s="195" t="s">
        <v>189</v>
      </c>
      <c r="F207" s="104">
        <v>2</v>
      </c>
      <c r="G207" s="196" t="s">
        <v>1383</v>
      </c>
      <c r="H207" s="79">
        <v>19405.5</v>
      </c>
      <c r="I207" s="79">
        <f t="shared" si="11"/>
        <v>646.85</v>
      </c>
      <c r="J207" s="79">
        <f>+I207*20</f>
        <v>12937</v>
      </c>
      <c r="K207" s="79">
        <f t="shared" si="13"/>
        <v>25874</v>
      </c>
    </row>
    <row r="208" spans="1:11" ht="78.75">
      <c r="A208" s="225" t="s">
        <v>1515</v>
      </c>
      <c r="B208" s="234" t="s">
        <v>1516</v>
      </c>
      <c r="C208" s="193">
        <v>45393</v>
      </c>
      <c r="D208" s="194"/>
      <c r="E208" s="195" t="s">
        <v>137</v>
      </c>
      <c r="F208" s="104">
        <v>1</v>
      </c>
      <c r="G208" s="196" t="s">
        <v>1383</v>
      </c>
      <c r="H208" s="79">
        <v>4357.5</v>
      </c>
      <c r="I208" s="79">
        <f t="shared" si="11"/>
        <v>145.25</v>
      </c>
      <c r="J208" s="79">
        <f t="shared" ref="J208:J271" si="15">+I208*20</f>
        <v>2905</v>
      </c>
      <c r="K208" s="79">
        <f t="shared" si="13"/>
        <v>2905</v>
      </c>
    </row>
    <row r="209" spans="1:11" ht="78.75">
      <c r="A209" s="233" t="s">
        <v>1513</v>
      </c>
      <c r="B209" s="229" t="s">
        <v>1514</v>
      </c>
      <c r="C209" s="193">
        <v>45393</v>
      </c>
      <c r="D209" s="194"/>
      <c r="E209" s="195" t="s">
        <v>155</v>
      </c>
      <c r="F209" s="104">
        <v>1</v>
      </c>
      <c r="G209" s="196" t="s">
        <v>1383</v>
      </c>
      <c r="H209" s="79">
        <v>963.2</v>
      </c>
      <c r="I209" s="79">
        <f t="shared" si="11"/>
        <v>32.106666666666669</v>
      </c>
      <c r="J209" s="79">
        <f t="shared" si="15"/>
        <v>642.13333333333344</v>
      </c>
      <c r="K209" s="79">
        <f t="shared" si="13"/>
        <v>642.13333333333344</v>
      </c>
    </row>
    <row r="210" spans="1:11" ht="78.75">
      <c r="A210" s="225" t="s">
        <v>1515</v>
      </c>
      <c r="B210" s="234" t="s">
        <v>1516</v>
      </c>
      <c r="C210" s="193">
        <v>45393</v>
      </c>
      <c r="D210" s="194"/>
      <c r="E210" s="195" t="s">
        <v>189</v>
      </c>
      <c r="F210" s="104">
        <v>1</v>
      </c>
      <c r="G210" s="78" t="s">
        <v>450</v>
      </c>
      <c r="H210" s="79">
        <v>19405.5</v>
      </c>
      <c r="I210" s="79">
        <f t="shared" si="11"/>
        <v>646.85</v>
      </c>
      <c r="J210" s="79">
        <f t="shared" si="15"/>
        <v>12937</v>
      </c>
      <c r="K210" s="79">
        <f t="shared" si="13"/>
        <v>12937</v>
      </c>
    </row>
    <row r="211" spans="1:11" ht="78.75">
      <c r="A211" s="225" t="s">
        <v>1515</v>
      </c>
      <c r="B211" s="234" t="s">
        <v>1516</v>
      </c>
      <c r="C211" s="193">
        <v>45393</v>
      </c>
      <c r="D211" s="194"/>
      <c r="E211" s="195" t="s">
        <v>137</v>
      </c>
      <c r="F211" s="104">
        <v>1</v>
      </c>
      <c r="G211" s="78" t="s">
        <v>450</v>
      </c>
      <c r="H211" s="79">
        <v>4357.5</v>
      </c>
      <c r="I211" s="79">
        <f t="shared" si="11"/>
        <v>145.25</v>
      </c>
      <c r="J211" s="79">
        <f t="shared" si="15"/>
        <v>2905</v>
      </c>
      <c r="K211" s="79">
        <f t="shared" si="13"/>
        <v>2905</v>
      </c>
    </row>
    <row r="212" spans="1:11" ht="78.75">
      <c r="A212" s="233" t="s">
        <v>1513</v>
      </c>
      <c r="B212" s="229" t="s">
        <v>1514</v>
      </c>
      <c r="C212" s="193">
        <v>45393</v>
      </c>
      <c r="D212" s="194"/>
      <c r="E212" s="195" t="s">
        <v>155</v>
      </c>
      <c r="F212" s="104">
        <v>1</v>
      </c>
      <c r="G212" s="78" t="s">
        <v>450</v>
      </c>
      <c r="H212" s="79">
        <v>963.2</v>
      </c>
      <c r="I212" s="79">
        <f t="shared" si="11"/>
        <v>32.106666666666669</v>
      </c>
      <c r="J212" s="79">
        <f t="shared" si="15"/>
        <v>642.13333333333344</v>
      </c>
      <c r="K212" s="79">
        <f t="shared" si="13"/>
        <v>642.13333333333344</v>
      </c>
    </row>
    <row r="213" spans="1:11" ht="78.75">
      <c r="A213" s="225" t="s">
        <v>1515</v>
      </c>
      <c r="B213" s="234" t="s">
        <v>1516</v>
      </c>
      <c r="C213" s="193">
        <v>45393</v>
      </c>
      <c r="D213" s="194"/>
      <c r="E213" s="195" t="s">
        <v>189</v>
      </c>
      <c r="F213" s="104">
        <v>1</v>
      </c>
      <c r="G213" s="78" t="s">
        <v>508</v>
      </c>
      <c r="H213" s="79">
        <v>19405.5</v>
      </c>
      <c r="I213" s="79">
        <f t="shared" si="11"/>
        <v>646.85</v>
      </c>
      <c r="J213" s="79">
        <f t="shared" si="15"/>
        <v>12937</v>
      </c>
      <c r="K213" s="79">
        <f t="shared" si="13"/>
        <v>12937</v>
      </c>
    </row>
    <row r="214" spans="1:11" ht="78.75">
      <c r="A214" s="225" t="s">
        <v>1515</v>
      </c>
      <c r="B214" s="234" t="s">
        <v>1516</v>
      </c>
      <c r="C214" s="193">
        <v>45393</v>
      </c>
      <c r="D214" s="194"/>
      <c r="E214" s="195" t="s">
        <v>137</v>
      </c>
      <c r="F214" s="104">
        <v>1</v>
      </c>
      <c r="G214" s="78" t="s">
        <v>508</v>
      </c>
      <c r="H214" s="79">
        <v>4357.5</v>
      </c>
      <c r="I214" s="79">
        <f t="shared" si="11"/>
        <v>145.25</v>
      </c>
      <c r="J214" s="79">
        <f t="shared" si="15"/>
        <v>2905</v>
      </c>
      <c r="K214" s="79">
        <f t="shared" si="13"/>
        <v>2905</v>
      </c>
    </row>
    <row r="215" spans="1:11" ht="78.75">
      <c r="A215" s="233" t="s">
        <v>1513</v>
      </c>
      <c r="B215" s="229" t="s">
        <v>1514</v>
      </c>
      <c r="C215" s="193">
        <v>45393</v>
      </c>
      <c r="D215" s="194"/>
      <c r="E215" s="195" t="s">
        <v>155</v>
      </c>
      <c r="F215" s="104">
        <v>1</v>
      </c>
      <c r="G215" s="78" t="s">
        <v>508</v>
      </c>
      <c r="H215" s="79">
        <v>963.2</v>
      </c>
      <c r="I215" s="79">
        <f t="shared" si="11"/>
        <v>32.106666666666669</v>
      </c>
      <c r="J215" s="79">
        <f t="shared" si="15"/>
        <v>642.13333333333344</v>
      </c>
      <c r="K215" s="79">
        <f t="shared" si="13"/>
        <v>642.13333333333344</v>
      </c>
    </row>
    <row r="216" spans="1:11" ht="78.75">
      <c r="A216" s="225" t="s">
        <v>1515</v>
      </c>
      <c r="B216" s="234" t="s">
        <v>1516</v>
      </c>
      <c r="C216" s="193">
        <v>45393</v>
      </c>
      <c r="D216" s="194"/>
      <c r="E216" s="195" t="s">
        <v>189</v>
      </c>
      <c r="F216" s="104">
        <v>2</v>
      </c>
      <c r="G216" s="196" t="s">
        <v>1382</v>
      </c>
      <c r="H216" s="79">
        <v>19405.5</v>
      </c>
      <c r="I216" s="79">
        <f t="shared" si="11"/>
        <v>646.85</v>
      </c>
      <c r="J216" s="79">
        <f t="shared" si="15"/>
        <v>12937</v>
      </c>
      <c r="K216" s="79">
        <f t="shared" si="13"/>
        <v>25874</v>
      </c>
    </row>
    <row r="217" spans="1:11" ht="78.75">
      <c r="A217" s="225" t="s">
        <v>1515</v>
      </c>
      <c r="B217" s="234" t="s">
        <v>1516</v>
      </c>
      <c r="C217" s="193">
        <v>45393</v>
      </c>
      <c r="D217" s="194"/>
      <c r="E217" s="195" t="s">
        <v>137</v>
      </c>
      <c r="F217" s="104">
        <v>1</v>
      </c>
      <c r="G217" s="196" t="s">
        <v>1382</v>
      </c>
      <c r="H217" s="79">
        <v>4357.5</v>
      </c>
      <c r="I217" s="79">
        <f t="shared" si="11"/>
        <v>145.25</v>
      </c>
      <c r="J217" s="79">
        <f t="shared" si="15"/>
        <v>2905</v>
      </c>
      <c r="K217" s="79">
        <f t="shared" si="13"/>
        <v>2905</v>
      </c>
    </row>
    <row r="218" spans="1:11" ht="78.75">
      <c r="A218" s="233" t="s">
        <v>1513</v>
      </c>
      <c r="B218" s="229" t="s">
        <v>1514</v>
      </c>
      <c r="C218" s="193">
        <v>45393</v>
      </c>
      <c r="D218" s="194"/>
      <c r="E218" s="195" t="s">
        <v>155</v>
      </c>
      <c r="F218" s="104">
        <v>1</v>
      </c>
      <c r="G218" s="196" t="s">
        <v>1382</v>
      </c>
      <c r="H218" s="79">
        <v>963.2</v>
      </c>
      <c r="I218" s="79">
        <f t="shared" si="11"/>
        <v>32.106666666666669</v>
      </c>
      <c r="J218" s="79">
        <f t="shared" si="15"/>
        <v>642.13333333333344</v>
      </c>
      <c r="K218" s="79">
        <f t="shared" si="13"/>
        <v>642.13333333333344</v>
      </c>
    </row>
    <row r="219" spans="1:11" ht="78.75">
      <c r="A219" s="225" t="s">
        <v>1515</v>
      </c>
      <c r="B219" s="234" t="s">
        <v>1516</v>
      </c>
      <c r="C219" s="193">
        <v>45393</v>
      </c>
      <c r="D219" s="194"/>
      <c r="E219" s="195" t="s">
        <v>189</v>
      </c>
      <c r="F219" s="104">
        <v>1</v>
      </c>
      <c r="G219" s="78" t="s">
        <v>455</v>
      </c>
      <c r="H219" s="79">
        <v>19405.5</v>
      </c>
      <c r="I219" s="79">
        <f t="shared" si="11"/>
        <v>646.85</v>
      </c>
      <c r="J219" s="79">
        <f t="shared" si="15"/>
        <v>12937</v>
      </c>
      <c r="K219" s="79">
        <f t="shared" si="13"/>
        <v>12937</v>
      </c>
    </row>
    <row r="220" spans="1:11" ht="78.75">
      <c r="A220" s="225" t="s">
        <v>1515</v>
      </c>
      <c r="B220" s="234" t="s">
        <v>1516</v>
      </c>
      <c r="C220" s="193">
        <v>45393</v>
      </c>
      <c r="D220" s="194"/>
      <c r="E220" s="195" t="s">
        <v>137</v>
      </c>
      <c r="F220" s="104">
        <v>1</v>
      </c>
      <c r="G220" s="78" t="s">
        <v>455</v>
      </c>
      <c r="H220" s="79">
        <v>4357.5</v>
      </c>
      <c r="I220" s="79">
        <f t="shared" si="11"/>
        <v>145.25</v>
      </c>
      <c r="J220" s="79">
        <f t="shared" si="15"/>
        <v>2905</v>
      </c>
      <c r="K220" s="79">
        <f t="shared" si="13"/>
        <v>2905</v>
      </c>
    </row>
    <row r="221" spans="1:11" ht="78.75">
      <c r="A221" s="233" t="s">
        <v>1513</v>
      </c>
      <c r="B221" s="229" t="s">
        <v>1514</v>
      </c>
      <c r="C221" s="193">
        <v>45393</v>
      </c>
      <c r="D221" s="194"/>
      <c r="E221" s="195" t="s">
        <v>155</v>
      </c>
      <c r="F221" s="104">
        <v>1</v>
      </c>
      <c r="G221" s="78" t="s">
        <v>455</v>
      </c>
      <c r="H221" s="79">
        <v>963.2</v>
      </c>
      <c r="I221" s="79">
        <f t="shared" si="11"/>
        <v>32.106666666666669</v>
      </c>
      <c r="J221" s="79">
        <f t="shared" si="15"/>
        <v>642.13333333333344</v>
      </c>
      <c r="K221" s="79">
        <f t="shared" si="13"/>
        <v>642.13333333333344</v>
      </c>
    </row>
    <row r="222" spans="1:11" ht="78.75">
      <c r="A222" s="225" t="s">
        <v>1515</v>
      </c>
      <c r="B222" s="234" t="s">
        <v>1516</v>
      </c>
      <c r="C222" s="193">
        <v>45393</v>
      </c>
      <c r="D222" s="194"/>
      <c r="E222" s="195" t="s">
        <v>189</v>
      </c>
      <c r="F222" s="104">
        <v>1</v>
      </c>
      <c r="G222" s="78" t="s">
        <v>451</v>
      </c>
      <c r="H222" s="79">
        <v>19405.5</v>
      </c>
      <c r="I222" s="79">
        <f t="shared" si="11"/>
        <v>646.85</v>
      </c>
      <c r="J222" s="79">
        <f t="shared" si="15"/>
        <v>12937</v>
      </c>
      <c r="K222" s="79">
        <f t="shared" si="13"/>
        <v>12937</v>
      </c>
    </row>
    <row r="223" spans="1:11" ht="78.75">
      <c r="A223" s="225" t="s">
        <v>1515</v>
      </c>
      <c r="B223" s="234" t="s">
        <v>1516</v>
      </c>
      <c r="C223" s="193">
        <v>45393</v>
      </c>
      <c r="D223" s="194"/>
      <c r="E223" s="195" t="s">
        <v>137</v>
      </c>
      <c r="F223" s="104">
        <v>1</v>
      </c>
      <c r="G223" s="78" t="s">
        <v>451</v>
      </c>
      <c r="H223" s="79">
        <v>4357.5</v>
      </c>
      <c r="I223" s="79">
        <f t="shared" si="11"/>
        <v>145.25</v>
      </c>
      <c r="J223" s="79">
        <f t="shared" si="15"/>
        <v>2905</v>
      </c>
      <c r="K223" s="79">
        <f t="shared" si="13"/>
        <v>2905</v>
      </c>
    </row>
    <row r="224" spans="1:11" ht="78.75">
      <c r="A224" s="233" t="s">
        <v>1513</v>
      </c>
      <c r="B224" s="229" t="s">
        <v>1514</v>
      </c>
      <c r="C224" s="193">
        <v>45393</v>
      </c>
      <c r="D224" s="194"/>
      <c r="E224" s="195" t="s">
        <v>155</v>
      </c>
      <c r="F224" s="104">
        <v>1</v>
      </c>
      <c r="G224" s="78" t="s">
        <v>451</v>
      </c>
      <c r="H224" s="79">
        <v>963.2</v>
      </c>
      <c r="I224" s="79">
        <f t="shared" si="11"/>
        <v>32.106666666666669</v>
      </c>
      <c r="J224" s="79">
        <f t="shared" si="15"/>
        <v>642.13333333333344</v>
      </c>
      <c r="K224" s="79">
        <f t="shared" si="13"/>
        <v>642.13333333333344</v>
      </c>
    </row>
    <row r="225" spans="1:11" ht="78.75">
      <c r="A225" s="225" t="s">
        <v>1515</v>
      </c>
      <c r="B225" s="234" t="s">
        <v>1516</v>
      </c>
      <c r="C225" s="193">
        <v>45393</v>
      </c>
      <c r="D225" s="194"/>
      <c r="E225" s="195" t="s">
        <v>189</v>
      </c>
      <c r="F225" s="104">
        <v>2</v>
      </c>
      <c r="G225" s="196" t="s">
        <v>1386</v>
      </c>
      <c r="H225" s="79">
        <v>19405.5</v>
      </c>
      <c r="I225" s="79">
        <f t="shared" si="11"/>
        <v>646.85</v>
      </c>
      <c r="J225" s="79">
        <f t="shared" si="15"/>
        <v>12937</v>
      </c>
      <c r="K225" s="79">
        <f t="shared" si="13"/>
        <v>25874</v>
      </c>
    </row>
    <row r="226" spans="1:11" ht="78.75">
      <c r="A226" s="225" t="s">
        <v>1515</v>
      </c>
      <c r="B226" s="234" t="s">
        <v>1516</v>
      </c>
      <c r="C226" s="193">
        <v>45393</v>
      </c>
      <c r="D226" s="194"/>
      <c r="E226" s="195" t="s">
        <v>137</v>
      </c>
      <c r="F226" s="104">
        <v>1</v>
      </c>
      <c r="G226" s="196" t="s">
        <v>1386</v>
      </c>
      <c r="H226" s="79">
        <v>4357.5</v>
      </c>
      <c r="I226" s="79">
        <f t="shared" si="11"/>
        <v>145.25</v>
      </c>
      <c r="J226" s="79">
        <f t="shared" si="15"/>
        <v>2905</v>
      </c>
      <c r="K226" s="79">
        <f t="shared" si="13"/>
        <v>2905</v>
      </c>
    </row>
    <row r="227" spans="1:11" ht="78.75">
      <c r="A227" s="233" t="s">
        <v>1513</v>
      </c>
      <c r="B227" s="229" t="s">
        <v>1514</v>
      </c>
      <c r="C227" s="193">
        <v>45393</v>
      </c>
      <c r="D227" s="194"/>
      <c r="E227" s="195" t="s">
        <v>155</v>
      </c>
      <c r="F227" s="104">
        <v>1</v>
      </c>
      <c r="G227" s="196" t="s">
        <v>1386</v>
      </c>
      <c r="H227" s="79">
        <v>963.2</v>
      </c>
      <c r="I227" s="79">
        <f t="shared" si="11"/>
        <v>32.106666666666669</v>
      </c>
      <c r="J227" s="79">
        <f t="shared" si="15"/>
        <v>642.13333333333344</v>
      </c>
      <c r="K227" s="79">
        <f t="shared" si="13"/>
        <v>642.13333333333344</v>
      </c>
    </row>
    <row r="228" spans="1:11" ht="78.75">
      <c r="A228" s="225" t="s">
        <v>1515</v>
      </c>
      <c r="B228" s="234" t="s">
        <v>1516</v>
      </c>
      <c r="C228" s="193">
        <v>45393</v>
      </c>
      <c r="D228" s="194"/>
      <c r="E228" s="195" t="s">
        <v>189</v>
      </c>
      <c r="F228" s="104">
        <v>1</v>
      </c>
      <c r="G228" s="83" t="s">
        <v>469</v>
      </c>
      <c r="H228" s="79">
        <v>19405.5</v>
      </c>
      <c r="I228" s="79">
        <f t="shared" si="11"/>
        <v>646.85</v>
      </c>
      <c r="J228" s="79">
        <f t="shared" si="15"/>
        <v>12937</v>
      </c>
      <c r="K228" s="79">
        <f t="shared" si="13"/>
        <v>12937</v>
      </c>
    </row>
    <row r="229" spans="1:11" ht="78.75">
      <c r="A229" s="225" t="s">
        <v>1515</v>
      </c>
      <c r="B229" s="234" t="s">
        <v>1516</v>
      </c>
      <c r="C229" s="193">
        <v>45393</v>
      </c>
      <c r="D229" s="194"/>
      <c r="E229" s="195" t="s">
        <v>137</v>
      </c>
      <c r="F229" s="104">
        <v>1</v>
      </c>
      <c r="G229" s="83" t="s">
        <v>469</v>
      </c>
      <c r="H229" s="79">
        <v>4357.5</v>
      </c>
      <c r="I229" s="79">
        <f t="shared" si="11"/>
        <v>145.25</v>
      </c>
      <c r="J229" s="79">
        <f t="shared" si="15"/>
        <v>2905</v>
      </c>
      <c r="K229" s="79">
        <f t="shared" si="13"/>
        <v>2905</v>
      </c>
    </row>
    <row r="230" spans="1:11" ht="78.75">
      <c r="A230" s="233" t="s">
        <v>1513</v>
      </c>
      <c r="B230" s="229" t="s">
        <v>1514</v>
      </c>
      <c r="C230" s="193">
        <v>45393</v>
      </c>
      <c r="D230" s="194"/>
      <c r="E230" s="195" t="s">
        <v>155</v>
      </c>
      <c r="F230" s="104">
        <v>1</v>
      </c>
      <c r="G230" s="83" t="s">
        <v>469</v>
      </c>
      <c r="H230" s="79">
        <v>963.2</v>
      </c>
      <c r="I230" s="79">
        <f t="shared" si="11"/>
        <v>32.106666666666669</v>
      </c>
      <c r="J230" s="79">
        <f t="shared" si="15"/>
        <v>642.13333333333344</v>
      </c>
      <c r="K230" s="79">
        <f t="shared" si="13"/>
        <v>642.13333333333344</v>
      </c>
    </row>
    <row r="231" spans="1:11" ht="78.75">
      <c r="A231" s="225" t="s">
        <v>1515</v>
      </c>
      <c r="B231" s="234" t="s">
        <v>1516</v>
      </c>
      <c r="C231" s="193">
        <v>45393</v>
      </c>
      <c r="D231" s="194"/>
      <c r="E231" s="195" t="s">
        <v>189</v>
      </c>
      <c r="F231" s="104">
        <v>2</v>
      </c>
      <c r="G231" s="196" t="s">
        <v>1384</v>
      </c>
      <c r="H231" s="79">
        <v>19405.5</v>
      </c>
      <c r="I231" s="79">
        <f t="shared" si="11"/>
        <v>646.85</v>
      </c>
      <c r="J231" s="79">
        <f t="shared" si="15"/>
        <v>12937</v>
      </c>
      <c r="K231" s="79">
        <f t="shared" si="13"/>
        <v>25874</v>
      </c>
    </row>
    <row r="232" spans="1:11" ht="78.75">
      <c r="A232" s="225" t="s">
        <v>1515</v>
      </c>
      <c r="B232" s="234" t="s">
        <v>1516</v>
      </c>
      <c r="C232" s="193">
        <v>45393</v>
      </c>
      <c r="D232" s="194"/>
      <c r="E232" s="195" t="s">
        <v>137</v>
      </c>
      <c r="F232" s="104">
        <v>1</v>
      </c>
      <c r="G232" s="196" t="s">
        <v>1384</v>
      </c>
      <c r="H232" s="79">
        <v>4357.5</v>
      </c>
      <c r="I232" s="79">
        <f t="shared" si="11"/>
        <v>145.25</v>
      </c>
      <c r="J232" s="79">
        <f t="shared" si="15"/>
        <v>2905</v>
      </c>
      <c r="K232" s="79">
        <f t="shared" si="13"/>
        <v>2905</v>
      </c>
    </row>
    <row r="233" spans="1:11" ht="78.75">
      <c r="A233" s="233" t="s">
        <v>1513</v>
      </c>
      <c r="B233" s="229" t="s">
        <v>1514</v>
      </c>
      <c r="C233" s="193">
        <v>45393</v>
      </c>
      <c r="D233" s="194"/>
      <c r="E233" s="195" t="s">
        <v>155</v>
      </c>
      <c r="F233" s="104">
        <v>1</v>
      </c>
      <c r="G233" s="196" t="s">
        <v>1384</v>
      </c>
      <c r="H233" s="79">
        <v>963.2</v>
      </c>
      <c r="I233" s="79">
        <f t="shared" si="11"/>
        <v>32.106666666666669</v>
      </c>
      <c r="J233" s="79">
        <f t="shared" si="15"/>
        <v>642.13333333333344</v>
      </c>
      <c r="K233" s="79">
        <f t="shared" si="13"/>
        <v>642.13333333333344</v>
      </c>
    </row>
    <row r="234" spans="1:11" ht="78.75">
      <c r="A234" s="225" t="s">
        <v>1515</v>
      </c>
      <c r="B234" s="234" t="s">
        <v>1516</v>
      </c>
      <c r="C234" s="193">
        <v>45393</v>
      </c>
      <c r="D234" s="194"/>
      <c r="E234" s="195" t="s">
        <v>189</v>
      </c>
      <c r="F234" s="104">
        <v>1</v>
      </c>
      <c r="G234" s="196" t="s">
        <v>459</v>
      </c>
      <c r="H234" s="79">
        <v>19405.5</v>
      </c>
      <c r="I234" s="79">
        <f t="shared" si="11"/>
        <v>646.85</v>
      </c>
      <c r="J234" s="79">
        <f t="shared" si="15"/>
        <v>12937</v>
      </c>
      <c r="K234" s="79">
        <f t="shared" si="13"/>
        <v>12937</v>
      </c>
    </row>
    <row r="235" spans="1:11" ht="78.75">
      <c r="A235" s="225" t="s">
        <v>1515</v>
      </c>
      <c r="B235" s="234" t="s">
        <v>1516</v>
      </c>
      <c r="C235" s="193">
        <v>45393</v>
      </c>
      <c r="D235" s="194"/>
      <c r="E235" s="195" t="s">
        <v>137</v>
      </c>
      <c r="F235" s="104">
        <v>1</v>
      </c>
      <c r="G235" s="196" t="s">
        <v>459</v>
      </c>
      <c r="H235" s="79">
        <v>4357.5</v>
      </c>
      <c r="I235" s="79">
        <f t="shared" si="11"/>
        <v>145.25</v>
      </c>
      <c r="J235" s="79">
        <f t="shared" si="15"/>
        <v>2905</v>
      </c>
      <c r="K235" s="79">
        <f t="shared" si="13"/>
        <v>2905</v>
      </c>
    </row>
    <row r="236" spans="1:11" ht="78.75">
      <c r="A236" s="225" t="s">
        <v>1515</v>
      </c>
      <c r="B236" s="234" t="s">
        <v>1516</v>
      </c>
      <c r="C236" s="193">
        <v>45393</v>
      </c>
      <c r="D236" s="194"/>
      <c r="E236" s="195" t="s">
        <v>181</v>
      </c>
      <c r="F236" s="104">
        <v>1</v>
      </c>
      <c r="G236" s="196" t="s">
        <v>459</v>
      </c>
      <c r="H236" s="79">
        <v>20069.25</v>
      </c>
      <c r="I236" s="79">
        <f t="shared" si="11"/>
        <v>668.97500000000002</v>
      </c>
      <c r="J236" s="79">
        <f t="shared" si="15"/>
        <v>13379.5</v>
      </c>
      <c r="K236" s="79">
        <f t="shared" si="13"/>
        <v>13379.5</v>
      </c>
    </row>
    <row r="237" spans="1:11" ht="78.75">
      <c r="A237" s="225" t="s">
        <v>1515</v>
      </c>
      <c r="B237" s="234" t="s">
        <v>1516</v>
      </c>
      <c r="C237" s="193">
        <v>45393</v>
      </c>
      <c r="D237" s="194"/>
      <c r="E237" s="195" t="s">
        <v>189</v>
      </c>
      <c r="F237" s="104">
        <v>1</v>
      </c>
      <c r="G237" s="83" t="s">
        <v>507</v>
      </c>
      <c r="H237" s="79">
        <v>19405.5</v>
      </c>
      <c r="I237" s="79">
        <f t="shared" si="11"/>
        <v>646.85</v>
      </c>
      <c r="J237" s="79">
        <f t="shared" si="15"/>
        <v>12937</v>
      </c>
      <c r="K237" s="79">
        <f t="shared" si="13"/>
        <v>12937</v>
      </c>
    </row>
    <row r="238" spans="1:11" ht="78.75">
      <c r="A238" s="225" t="s">
        <v>1515</v>
      </c>
      <c r="B238" s="234" t="s">
        <v>1516</v>
      </c>
      <c r="C238" s="193">
        <v>45393</v>
      </c>
      <c r="D238" s="194"/>
      <c r="E238" s="195" t="s">
        <v>137</v>
      </c>
      <c r="F238" s="104">
        <v>1</v>
      </c>
      <c r="G238" s="83" t="s">
        <v>507</v>
      </c>
      <c r="H238" s="79">
        <v>4357.5</v>
      </c>
      <c r="I238" s="79">
        <f t="shared" si="11"/>
        <v>145.25</v>
      </c>
      <c r="J238" s="79">
        <f t="shared" si="15"/>
        <v>2905</v>
      </c>
      <c r="K238" s="79">
        <f t="shared" si="13"/>
        <v>2905</v>
      </c>
    </row>
    <row r="239" spans="1:11" ht="78.75">
      <c r="A239" s="233" t="s">
        <v>1513</v>
      </c>
      <c r="B239" s="229" t="s">
        <v>1514</v>
      </c>
      <c r="C239" s="193">
        <v>45393</v>
      </c>
      <c r="D239" s="194"/>
      <c r="E239" s="195" t="s">
        <v>155</v>
      </c>
      <c r="F239" s="104">
        <v>1</v>
      </c>
      <c r="G239" s="83" t="s">
        <v>507</v>
      </c>
      <c r="H239" s="79">
        <v>963.2</v>
      </c>
      <c r="I239" s="79">
        <f t="shared" si="11"/>
        <v>32.106666666666669</v>
      </c>
      <c r="J239" s="79">
        <f t="shared" si="15"/>
        <v>642.13333333333344</v>
      </c>
      <c r="K239" s="79">
        <f t="shared" si="13"/>
        <v>642.13333333333344</v>
      </c>
    </row>
    <row r="240" spans="1:11" ht="78.75">
      <c r="A240" s="225" t="s">
        <v>1515</v>
      </c>
      <c r="B240" s="234" t="s">
        <v>1516</v>
      </c>
      <c r="C240" s="193">
        <v>45393</v>
      </c>
      <c r="D240" s="194"/>
      <c r="E240" s="195" t="s">
        <v>189</v>
      </c>
      <c r="F240" s="104">
        <v>2</v>
      </c>
      <c r="G240" s="196" t="s">
        <v>1387</v>
      </c>
      <c r="H240" s="79">
        <v>19405.5</v>
      </c>
      <c r="I240" s="79">
        <f t="shared" si="11"/>
        <v>646.85</v>
      </c>
      <c r="J240" s="79">
        <f t="shared" si="15"/>
        <v>12937</v>
      </c>
      <c r="K240" s="79">
        <f t="shared" si="13"/>
        <v>25874</v>
      </c>
    </row>
    <row r="241" spans="1:11" ht="78.75">
      <c r="A241" s="225" t="s">
        <v>1515</v>
      </c>
      <c r="B241" s="234" t="s">
        <v>1516</v>
      </c>
      <c r="C241" s="193">
        <v>45393</v>
      </c>
      <c r="D241" s="194"/>
      <c r="E241" s="195" t="s">
        <v>137</v>
      </c>
      <c r="F241" s="104">
        <v>1</v>
      </c>
      <c r="G241" s="196" t="s">
        <v>1387</v>
      </c>
      <c r="H241" s="79">
        <v>4357.5</v>
      </c>
      <c r="I241" s="79">
        <f t="shared" si="11"/>
        <v>145.25</v>
      </c>
      <c r="J241" s="79">
        <f t="shared" si="15"/>
        <v>2905</v>
      </c>
      <c r="K241" s="79">
        <f t="shared" si="13"/>
        <v>2905</v>
      </c>
    </row>
    <row r="242" spans="1:11" ht="78.75">
      <c r="A242" s="225" t="s">
        <v>1515</v>
      </c>
      <c r="B242" s="234" t="s">
        <v>1516</v>
      </c>
      <c r="C242" s="193">
        <v>45393</v>
      </c>
      <c r="D242" s="194"/>
      <c r="E242" s="195" t="s">
        <v>189</v>
      </c>
      <c r="F242" s="104">
        <v>1</v>
      </c>
      <c r="G242" s="196" t="s">
        <v>1377</v>
      </c>
      <c r="H242" s="79">
        <v>19405.5</v>
      </c>
      <c r="I242" s="79">
        <f t="shared" si="11"/>
        <v>646.85</v>
      </c>
      <c r="J242" s="79">
        <f t="shared" si="15"/>
        <v>12937</v>
      </c>
      <c r="K242" s="79">
        <f t="shared" si="13"/>
        <v>12937</v>
      </c>
    </row>
    <row r="243" spans="1:11" ht="78.75">
      <c r="A243" s="225" t="s">
        <v>1515</v>
      </c>
      <c r="B243" s="234" t="s">
        <v>1516</v>
      </c>
      <c r="C243" s="193">
        <v>45393</v>
      </c>
      <c r="D243" s="194"/>
      <c r="E243" s="195" t="s">
        <v>137</v>
      </c>
      <c r="F243" s="104">
        <v>1</v>
      </c>
      <c r="G243" s="196" t="s">
        <v>1377</v>
      </c>
      <c r="H243" s="79">
        <v>4357.5</v>
      </c>
      <c r="I243" s="79">
        <f t="shared" si="11"/>
        <v>145.25</v>
      </c>
      <c r="J243" s="79">
        <f t="shared" si="15"/>
        <v>2905</v>
      </c>
      <c r="K243" s="79">
        <f t="shared" si="13"/>
        <v>2905</v>
      </c>
    </row>
    <row r="244" spans="1:11" ht="78.75">
      <c r="A244" s="233" t="s">
        <v>1513</v>
      </c>
      <c r="B244" s="229" t="s">
        <v>1514</v>
      </c>
      <c r="C244" s="193">
        <v>45393</v>
      </c>
      <c r="D244" s="194"/>
      <c r="E244" s="195" t="s">
        <v>155</v>
      </c>
      <c r="F244" s="104">
        <v>1</v>
      </c>
      <c r="G244" s="196" t="s">
        <v>1377</v>
      </c>
      <c r="H244" s="79">
        <v>963.2</v>
      </c>
      <c r="I244" s="79">
        <f t="shared" si="11"/>
        <v>32.106666666666669</v>
      </c>
      <c r="J244" s="79">
        <f t="shared" si="15"/>
        <v>642.13333333333344</v>
      </c>
      <c r="K244" s="79">
        <f t="shared" si="13"/>
        <v>642.13333333333344</v>
      </c>
    </row>
    <row r="245" spans="1:11" ht="78.75">
      <c r="A245" s="225" t="s">
        <v>1515</v>
      </c>
      <c r="B245" s="234" t="s">
        <v>1516</v>
      </c>
      <c r="C245" s="193">
        <v>45393</v>
      </c>
      <c r="D245" s="194"/>
      <c r="E245" s="195" t="s">
        <v>189</v>
      </c>
      <c r="F245" s="104">
        <v>2</v>
      </c>
      <c r="G245" s="78" t="s">
        <v>1388</v>
      </c>
      <c r="H245" s="79">
        <v>19405.5</v>
      </c>
      <c r="I245" s="79">
        <f t="shared" si="11"/>
        <v>646.85</v>
      </c>
      <c r="J245" s="79">
        <f t="shared" si="15"/>
        <v>12937</v>
      </c>
      <c r="K245" s="79">
        <f t="shared" si="13"/>
        <v>25874</v>
      </c>
    </row>
    <row r="246" spans="1:11" ht="78.75">
      <c r="A246" s="225" t="s">
        <v>1515</v>
      </c>
      <c r="B246" s="234" t="s">
        <v>1516</v>
      </c>
      <c r="C246" s="193">
        <v>45393</v>
      </c>
      <c r="D246" s="194"/>
      <c r="E246" s="195" t="s">
        <v>137</v>
      </c>
      <c r="F246" s="104">
        <v>1</v>
      </c>
      <c r="G246" s="78" t="s">
        <v>1388</v>
      </c>
      <c r="H246" s="79">
        <v>4357.5</v>
      </c>
      <c r="I246" s="79">
        <f t="shared" si="11"/>
        <v>145.25</v>
      </c>
      <c r="J246" s="79">
        <f t="shared" si="15"/>
        <v>2905</v>
      </c>
      <c r="K246" s="79">
        <f t="shared" si="13"/>
        <v>2905</v>
      </c>
    </row>
    <row r="247" spans="1:11" ht="78.75">
      <c r="A247" s="225" t="s">
        <v>1515</v>
      </c>
      <c r="B247" s="234" t="s">
        <v>1516</v>
      </c>
      <c r="C247" s="193">
        <v>45393</v>
      </c>
      <c r="D247" s="194"/>
      <c r="E247" s="195" t="s">
        <v>181</v>
      </c>
      <c r="F247" s="104">
        <v>1</v>
      </c>
      <c r="G247" s="78" t="s">
        <v>1388</v>
      </c>
      <c r="H247" s="82">
        <v>20069.25</v>
      </c>
      <c r="I247" s="79">
        <f t="shared" si="11"/>
        <v>668.97500000000002</v>
      </c>
      <c r="J247" s="79">
        <f t="shared" si="15"/>
        <v>13379.5</v>
      </c>
      <c r="K247" s="79">
        <f t="shared" si="13"/>
        <v>13379.5</v>
      </c>
    </row>
    <row r="248" spans="1:11" ht="78.75">
      <c r="A248" s="225" t="s">
        <v>1515</v>
      </c>
      <c r="B248" s="234" t="s">
        <v>1516</v>
      </c>
      <c r="C248" s="193">
        <v>45393</v>
      </c>
      <c r="D248" s="194"/>
      <c r="E248" s="195" t="s">
        <v>189</v>
      </c>
      <c r="F248" s="104">
        <v>2</v>
      </c>
      <c r="G248" s="78" t="s">
        <v>458</v>
      </c>
      <c r="H248" s="79">
        <v>19405.5</v>
      </c>
      <c r="I248" s="79">
        <f t="shared" si="11"/>
        <v>646.85</v>
      </c>
      <c r="J248" s="79">
        <f t="shared" si="15"/>
        <v>12937</v>
      </c>
      <c r="K248" s="79">
        <f t="shared" si="13"/>
        <v>25874</v>
      </c>
    </row>
    <row r="249" spans="1:11" ht="78.75">
      <c r="A249" s="225" t="s">
        <v>1515</v>
      </c>
      <c r="B249" s="234" t="s">
        <v>1516</v>
      </c>
      <c r="C249" s="193">
        <v>45393</v>
      </c>
      <c r="D249" s="194"/>
      <c r="E249" s="195" t="s">
        <v>137</v>
      </c>
      <c r="F249" s="104">
        <v>1</v>
      </c>
      <c r="G249" s="78" t="s">
        <v>458</v>
      </c>
      <c r="H249" s="79">
        <v>4357.5</v>
      </c>
      <c r="I249" s="79">
        <f t="shared" si="11"/>
        <v>145.25</v>
      </c>
      <c r="J249" s="79">
        <f t="shared" si="15"/>
        <v>2905</v>
      </c>
      <c r="K249" s="79">
        <f t="shared" si="13"/>
        <v>2905</v>
      </c>
    </row>
    <row r="250" spans="1:11" ht="78.75">
      <c r="A250" s="233" t="s">
        <v>1513</v>
      </c>
      <c r="B250" s="229" t="s">
        <v>1514</v>
      </c>
      <c r="C250" s="193">
        <v>45393</v>
      </c>
      <c r="D250" s="194"/>
      <c r="E250" s="195" t="s">
        <v>155</v>
      </c>
      <c r="F250" s="104">
        <v>1</v>
      </c>
      <c r="G250" s="78" t="s">
        <v>458</v>
      </c>
      <c r="H250" s="79">
        <v>963.2</v>
      </c>
      <c r="I250" s="79">
        <f t="shared" si="11"/>
        <v>32.106666666666669</v>
      </c>
      <c r="J250" s="79">
        <f t="shared" si="15"/>
        <v>642.13333333333344</v>
      </c>
      <c r="K250" s="79">
        <f t="shared" si="13"/>
        <v>642.13333333333344</v>
      </c>
    </row>
    <row r="251" spans="1:11" ht="78.75">
      <c r="A251" s="233" t="s">
        <v>1513</v>
      </c>
      <c r="B251" s="229" t="s">
        <v>1514</v>
      </c>
      <c r="C251" s="193">
        <v>45393</v>
      </c>
      <c r="D251" s="194"/>
      <c r="E251" s="195" t="s">
        <v>157</v>
      </c>
      <c r="F251" s="104">
        <v>1</v>
      </c>
      <c r="G251" s="78" t="s">
        <v>458</v>
      </c>
      <c r="H251" s="79">
        <v>20188.5</v>
      </c>
      <c r="I251" s="79">
        <f t="shared" si="11"/>
        <v>672.95</v>
      </c>
      <c r="J251" s="79">
        <f t="shared" si="15"/>
        <v>13459</v>
      </c>
      <c r="K251" s="79">
        <f t="shared" si="13"/>
        <v>13459</v>
      </c>
    </row>
    <row r="252" spans="1:11" ht="78.75">
      <c r="A252" s="233" t="s">
        <v>1513</v>
      </c>
      <c r="B252" s="229" t="s">
        <v>1514</v>
      </c>
      <c r="C252" s="193">
        <v>45393</v>
      </c>
      <c r="D252" s="194"/>
      <c r="E252" s="195" t="s">
        <v>188</v>
      </c>
      <c r="F252" s="104">
        <v>4</v>
      </c>
      <c r="G252" s="196" t="s">
        <v>464</v>
      </c>
      <c r="H252" s="79">
        <v>655.20000000000005</v>
      </c>
      <c r="I252" s="79">
        <f t="shared" si="11"/>
        <v>21.84</v>
      </c>
      <c r="J252" s="79">
        <f t="shared" si="15"/>
        <v>436.8</v>
      </c>
      <c r="K252" s="79">
        <f t="shared" si="13"/>
        <v>1747.2</v>
      </c>
    </row>
    <row r="253" spans="1:11" ht="78.75">
      <c r="A253" s="225" t="s">
        <v>1515</v>
      </c>
      <c r="B253" s="234" t="s">
        <v>1516</v>
      </c>
      <c r="C253" s="193">
        <v>45393</v>
      </c>
      <c r="D253" s="194"/>
      <c r="E253" s="195" t="s">
        <v>137</v>
      </c>
      <c r="F253" s="104">
        <v>1</v>
      </c>
      <c r="G253" s="196" t="s">
        <v>464</v>
      </c>
      <c r="H253" s="79">
        <v>4357.5</v>
      </c>
      <c r="I253" s="79">
        <f t="shared" si="11"/>
        <v>145.25</v>
      </c>
      <c r="J253" s="79">
        <f t="shared" si="15"/>
        <v>2905</v>
      </c>
      <c r="K253" s="79">
        <f t="shared" si="13"/>
        <v>2905</v>
      </c>
    </row>
    <row r="254" spans="1:11" ht="78.75">
      <c r="A254" s="225" t="s">
        <v>1515</v>
      </c>
      <c r="B254" s="234" t="s">
        <v>1516</v>
      </c>
      <c r="C254" s="193">
        <v>45393</v>
      </c>
      <c r="D254" s="194"/>
      <c r="E254" s="195" t="s">
        <v>137</v>
      </c>
      <c r="F254" s="104">
        <v>1</v>
      </c>
      <c r="G254" s="196" t="s">
        <v>464</v>
      </c>
      <c r="H254" s="79">
        <v>4357.5</v>
      </c>
      <c r="I254" s="79">
        <f t="shared" si="11"/>
        <v>145.25</v>
      </c>
      <c r="J254" s="79">
        <f t="shared" si="15"/>
        <v>2905</v>
      </c>
      <c r="K254" s="79">
        <f t="shared" si="13"/>
        <v>2905</v>
      </c>
    </row>
    <row r="255" spans="1:11" ht="78.75">
      <c r="A255" s="225" t="s">
        <v>1515</v>
      </c>
      <c r="B255" s="234" t="s">
        <v>1516</v>
      </c>
      <c r="C255" s="193">
        <v>45393</v>
      </c>
      <c r="D255" s="194"/>
      <c r="E255" s="195" t="s">
        <v>137</v>
      </c>
      <c r="F255" s="104">
        <v>1</v>
      </c>
      <c r="G255" s="196" t="s">
        <v>464</v>
      </c>
      <c r="H255" s="79">
        <v>4357.5</v>
      </c>
      <c r="I255" s="79">
        <f t="shared" si="11"/>
        <v>145.25</v>
      </c>
      <c r="J255" s="79">
        <f t="shared" si="15"/>
        <v>2905</v>
      </c>
      <c r="K255" s="79">
        <f t="shared" si="13"/>
        <v>2905</v>
      </c>
    </row>
    <row r="256" spans="1:11" ht="78.75">
      <c r="A256" s="225" t="s">
        <v>1515</v>
      </c>
      <c r="B256" s="234" t="s">
        <v>1516</v>
      </c>
      <c r="C256" s="193">
        <v>45393</v>
      </c>
      <c r="D256" s="194"/>
      <c r="E256" s="195" t="s">
        <v>137</v>
      </c>
      <c r="F256" s="104">
        <v>1</v>
      </c>
      <c r="G256" s="196" t="s">
        <v>464</v>
      </c>
      <c r="H256" s="79">
        <v>4357.5</v>
      </c>
      <c r="I256" s="79">
        <f t="shared" si="11"/>
        <v>145.25</v>
      </c>
      <c r="J256" s="79">
        <f t="shared" si="15"/>
        <v>2905</v>
      </c>
      <c r="K256" s="79">
        <f t="shared" si="13"/>
        <v>2905</v>
      </c>
    </row>
    <row r="257" spans="1:11" ht="78.75">
      <c r="A257" s="225" t="s">
        <v>1515</v>
      </c>
      <c r="B257" s="234" t="s">
        <v>1516</v>
      </c>
      <c r="C257" s="193">
        <v>45393</v>
      </c>
      <c r="D257" s="194"/>
      <c r="E257" s="195" t="s">
        <v>137</v>
      </c>
      <c r="F257" s="104">
        <v>1</v>
      </c>
      <c r="G257" s="196" t="s">
        <v>464</v>
      </c>
      <c r="H257" s="79">
        <v>4357.5</v>
      </c>
      <c r="I257" s="79">
        <f t="shared" si="11"/>
        <v>145.25</v>
      </c>
      <c r="J257" s="79">
        <f t="shared" si="15"/>
        <v>2905</v>
      </c>
      <c r="K257" s="79">
        <f t="shared" si="13"/>
        <v>2905</v>
      </c>
    </row>
    <row r="258" spans="1:11" ht="78.75">
      <c r="A258" s="225" t="s">
        <v>1515</v>
      </c>
      <c r="B258" s="234" t="s">
        <v>1516</v>
      </c>
      <c r="C258" s="193">
        <v>45393</v>
      </c>
      <c r="D258" s="194"/>
      <c r="E258" s="195" t="s">
        <v>137</v>
      </c>
      <c r="F258" s="104">
        <v>1</v>
      </c>
      <c r="G258" s="196" t="s">
        <v>464</v>
      </c>
      <c r="H258" s="79">
        <v>4357.5</v>
      </c>
      <c r="I258" s="79">
        <f t="shared" si="11"/>
        <v>145.25</v>
      </c>
      <c r="J258" s="79">
        <f t="shared" si="15"/>
        <v>2905</v>
      </c>
      <c r="K258" s="79">
        <f t="shared" si="13"/>
        <v>2905</v>
      </c>
    </row>
    <row r="259" spans="1:11" ht="78.75">
      <c r="A259" s="225" t="s">
        <v>1515</v>
      </c>
      <c r="B259" s="234" t="s">
        <v>1516</v>
      </c>
      <c r="C259" s="193">
        <v>45393</v>
      </c>
      <c r="D259" s="194"/>
      <c r="E259" s="195" t="s">
        <v>137</v>
      </c>
      <c r="F259" s="104">
        <v>1</v>
      </c>
      <c r="G259" s="196" t="s">
        <v>464</v>
      </c>
      <c r="H259" s="79">
        <v>4357.5</v>
      </c>
      <c r="I259" s="79">
        <f t="shared" ref="I259:I322" si="16">+H259/30</f>
        <v>145.25</v>
      </c>
      <c r="J259" s="79">
        <f t="shared" si="15"/>
        <v>2905</v>
      </c>
      <c r="K259" s="79">
        <f t="shared" ref="K259:K322" si="17">+F259*J259</f>
        <v>2905</v>
      </c>
    </row>
    <row r="260" spans="1:11" ht="78.75">
      <c r="A260" s="225" t="s">
        <v>1515</v>
      </c>
      <c r="B260" s="234" t="s">
        <v>1516</v>
      </c>
      <c r="C260" s="193">
        <v>45393</v>
      </c>
      <c r="D260" s="194"/>
      <c r="E260" s="195" t="s">
        <v>137</v>
      </c>
      <c r="F260" s="104">
        <v>1</v>
      </c>
      <c r="G260" s="196" t="s">
        <v>464</v>
      </c>
      <c r="H260" s="79">
        <v>4357.5</v>
      </c>
      <c r="I260" s="79">
        <f t="shared" si="16"/>
        <v>145.25</v>
      </c>
      <c r="J260" s="79">
        <f t="shared" si="15"/>
        <v>2905</v>
      </c>
      <c r="K260" s="79">
        <f t="shared" si="17"/>
        <v>2905</v>
      </c>
    </row>
    <row r="261" spans="1:11" ht="78.75">
      <c r="A261" s="233" t="s">
        <v>1513</v>
      </c>
      <c r="B261" s="229" t="s">
        <v>1514</v>
      </c>
      <c r="C261" s="193">
        <v>45393</v>
      </c>
      <c r="D261" s="194"/>
      <c r="E261" s="195" t="s">
        <v>1389</v>
      </c>
      <c r="F261" s="104">
        <v>3</v>
      </c>
      <c r="G261" s="196" t="s">
        <v>464</v>
      </c>
      <c r="H261" s="79">
        <v>3703.2</v>
      </c>
      <c r="I261" s="79">
        <f t="shared" si="16"/>
        <v>123.44</v>
      </c>
      <c r="J261" s="79">
        <f t="shared" si="15"/>
        <v>2468.8000000000002</v>
      </c>
      <c r="K261" s="79">
        <f t="shared" si="17"/>
        <v>7406.4000000000005</v>
      </c>
    </row>
    <row r="262" spans="1:11" ht="78.75">
      <c r="A262" s="225" t="s">
        <v>1515</v>
      </c>
      <c r="B262" s="234" t="s">
        <v>1516</v>
      </c>
      <c r="C262" s="193">
        <v>45393</v>
      </c>
      <c r="D262" s="194"/>
      <c r="E262" s="195" t="s">
        <v>187</v>
      </c>
      <c r="F262" s="104">
        <v>1</v>
      </c>
      <c r="G262" s="196" t="s">
        <v>464</v>
      </c>
      <c r="H262" s="79">
        <v>87613.5</v>
      </c>
      <c r="I262" s="79">
        <f t="shared" si="16"/>
        <v>2920.45</v>
      </c>
      <c r="J262" s="79">
        <f t="shared" si="15"/>
        <v>58409</v>
      </c>
      <c r="K262" s="79">
        <f t="shared" si="17"/>
        <v>58409</v>
      </c>
    </row>
    <row r="263" spans="1:11" ht="78.75">
      <c r="A263" s="225" t="s">
        <v>1515</v>
      </c>
      <c r="B263" s="234" t="s">
        <v>1516</v>
      </c>
      <c r="C263" s="193">
        <v>45393</v>
      </c>
      <c r="D263" s="194"/>
      <c r="E263" s="195" t="s">
        <v>187</v>
      </c>
      <c r="F263" s="104">
        <v>1</v>
      </c>
      <c r="G263" s="196" t="s">
        <v>464</v>
      </c>
      <c r="H263" s="79">
        <v>87613.5</v>
      </c>
      <c r="I263" s="79">
        <f t="shared" si="16"/>
        <v>2920.45</v>
      </c>
      <c r="J263" s="79">
        <f t="shared" si="15"/>
        <v>58409</v>
      </c>
      <c r="K263" s="79">
        <f t="shared" si="17"/>
        <v>58409</v>
      </c>
    </row>
    <row r="264" spans="1:11" ht="78.75">
      <c r="A264" s="225" t="s">
        <v>1515</v>
      </c>
      <c r="B264" s="234" t="s">
        <v>1516</v>
      </c>
      <c r="C264" s="193">
        <v>45393</v>
      </c>
      <c r="D264" s="194"/>
      <c r="E264" s="195" t="s">
        <v>187</v>
      </c>
      <c r="F264" s="104">
        <v>1</v>
      </c>
      <c r="G264" s="196" t="s">
        <v>464</v>
      </c>
      <c r="H264" s="79">
        <v>87613.5</v>
      </c>
      <c r="I264" s="79">
        <f t="shared" si="16"/>
        <v>2920.45</v>
      </c>
      <c r="J264" s="79">
        <f t="shared" si="15"/>
        <v>58409</v>
      </c>
      <c r="K264" s="79">
        <f t="shared" si="17"/>
        <v>58409</v>
      </c>
    </row>
    <row r="265" spans="1:11" ht="78.75">
      <c r="A265" s="225" t="s">
        <v>1515</v>
      </c>
      <c r="B265" s="234" t="s">
        <v>1516</v>
      </c>
      <c r="C265" s="193">
        <v>45393</v>
      </c>
      <c r="D265" s="194"/>
      <c r="E265" s="195" t="s">
        <v>1385</v>
      </c>
      <c r="F265" s="104">
        <v>1</v>
      </c>
      <c r="G265" s="196" t="s">
        <v>464</v>
      </c>
      <c r="H265" s="79">
        <v>65444.25</v>
      </c>
      <c r="I265" s="79">
        <f t="shared" si="16"/>
        <v>2181.4749999999999</v>
      </c>
      <c r="J265" s="79">
        <f t="shared" si="15"/>
        <v>43629.5</v>
      </c>
      <c r="K265" s="79">
        <f t="shared" si="17"/>
        <v>43629.5</v>
      </c>
    </row>
    <row r="266" spans="1:11" ht="78.75">
      <c r="A266" s="225" t="s">
        <v>1515</v>
      </c>
      <c r="B266" s="234" t="s">
        <v>1516</v>
      </c>
      <c r="C266" s="193">
        <v>45393</v>
      </c>
      <c r="D266" s="194"/>
      <c r="E266" s="195" t="s">
        <v>1385</v>
      </c>
      <c r="F266" s="104">
        <v>1</v>
      </c>
      <c r="G266" s="196" t="s">
        <v>464</v>
      </c>
      <c r="H266" s="79">
        <v>65444.25</v>
      </c>
      <c r="I266" s="79">
        <f t="shared" si="16"/>
        <v>2181.4749999999999</v>
      </c>
      <c r="J266" s="79">
        <f t="shared" si="15"/>
        <v>43629.5</v>
      </c>
      <c r="K266" s="79">
        <f t="shared" si="17"/>
        <v>43629.5</v>
      </c>
    </row>
    <row r="267" spans="1:11" ht="78.75">
      <c r="A267" s="225" t="s">
        <v>1515</v>
      </c>
      <c r="B267" s="234" t="s">
        <v>1516</v>
      </c>
      <c r="C267" s="193">
        <v>45393</v>
      </c>
      <c r="D267" s="194"/>
      <c r="E267" s="195" t="s">
        <v>1385</v>
      </c>
      <c r="F267" s="104">
        <v>1</v>
      </c>
      <c r="G267" s="196" t="s">
        <v>464</v>
      </c>
      <c r="H267" s="79">
        <v>65444.25</v>
      </c>
      <c r="I267" s="79">
        <f t="shared" si="16"/>
        <v>2181.4749999999999</v>
      </c>
      <c r="J267" s="79">
        <f t="shared" si="15"/>
        <v>43629.5</v>
      </c>
      <c r="K267" s="79">
        <f t="shared" si="17"/>
        <v>43629.5</v>
      </c>
    </row>
    <row r="268" spans="1:11" ht="78.75">
      <c r="A268" s="225" t="s">
        <v>1515</v>
      </c>
      <c r="B268" s="234" t="s">
        <v>1516</v>
      </c>
      <c r="C268" s="193">
        <v>45393</v>
      </c>
      <c r="D268" s="194"/>
      <c r="E268" s="195" t="s">
        <v>1390</v>
      </c>
      <c r="F268" s="104">
        <v>2</v>
      </c>
      <c r="G268" s="196" t="s">
        <v>464</v>
      </c>
      <c r="H268" s="79">
        <v>2867.2</v>
      </c>
      <c r="I268" s="79">
        <f t="shared" si="16"/>
        <v>95.573333333333323</v>
      </c>
      <c r="J268" s="79">
        <f t="shared" si="15"/>
        <v>1911.4666666666665</v>
      </c>
      <c r="K268" s="79">
        <f t="shared" si="17"/>
        <v>3822.9333333333329</v>
      </c>
    </row>
    <row r="269" spans="1:11" ht="78.75">
      <c r="A269" s="225" t="s">
        <v>1515</v>
      </c>
      <c r="B269" s="234" t="s">
        <v>1516</v>
      </c>
      <c r="C269" s="193">
        <v>45393</v>
      </c>
      <c r="D269" s="194"/>
      <c r="E269" s="195" t="s">
        <v>1391</v>
      </c>
      <c r="F269" s="104">
        <v>1</v>
      </c>
      <c r="G269" s="196" t="s">
        <v>464</v>
      </c>
      <c r="H269" s="79">
        <v>8034.4</v>
      </c>
      <c r="I269" s="79">
        <f t="shared" si="16"/>
        <v>267.81333333333333</v>
      </c>
      <c r="J269" s="79">
        <f t="shared" si="15"/>
        <v>5356.2666666666664</v>
      </c>
      <c r="K269" s="79">
        <f t="shared" si="17"/>
        <v>5356.2666666666664</v>
      </c>
    </row>
    <row r="270" spans="1:11" ht="78.75">
      <c r="A270" s="225" t="s">
        <v>1515</v>
      </c>
      <c r="B270" s="234" t="s">
        <v>1516</v>
      </c>
      <c r="C270" s="193">
        <v>45393</v>
      </c>
      <c r="D270" s="194"/>
      <c r="E270" s="195" t="s">
        <v>189</v>
      </c>
      <c r="F270" s="104">
        <v>2</v>
      </c>
      <c r="G270" s="196" t="s">
        <v>463</v>
      </c>
      <c r="H270" s="79">
        <v>19405.5</v>
      </c>
      <c r="I270" s="79">
        <f t="shared" si="16"/>
        <v>646.85</v>
      </c>
      <c r="J270" s="79">
        <f t="shared" si="15"/>
        <v>12937</v>
      </c>
      <c r="K270" s="79">
        <f t="shared" si="17"/>
        <v>25874</v>
      </c>
    </row>
    <row r="271" spans="1:11" ht="78.75">
      <c r="A271" s="225" t="s">
        <v>1515</v>
      </c>
      <c r="B271" s="234" t="s">
        <v>1516</v>
      </c>
      <c r="C271" s="193">
        <v>45393</v>
      </c>
      <c r="D271" s="194"/>
      <c r="E271" s="195" t="s">
        <v>137</v>
      </c>
      <c r="F271" s="104">
        <v>1</v>
      </c>
      <c r="G271" s="196" t="s">
        <v>463</v>
      </c>
      <c r="H271" s="79">
        <v>4357.5</v>
      </c>
      <c r="I271" s="79">
        <f t="shared" si="16"/>
        <v>145.25</v>
      </c>
      <c r="J271" s="79">
        <f t="shared" si="15"/>
        <v>2905</v>
      </c>
      <c r="K271" s="79">
        <f t="shared" si="17"/>
        <v>2905</v>
      </c>
    </row>
    <row r="272" spans="1:11" ht="78.75">
      <c r="A272" s="225" t="s">
        <v>1515</v>
      </c>
      <c r="B272" s="234" t="s">
        <v>1516</v>
      </c>
      <c r="C272" s="193">
        <v>45393</v>
      </c>
      <c r="D272" s="194"/>
      <c r="E272" s="195" t="s">
        <v>189</v>
      </c>
      <c r="F272" s="104">
        <v>1</v>
      </c>
      <c r="G272" s="78" t="s">
        <v>457</v>
      </c>
      <c r="H272" s="79">
        <v>19405.5</v>
      </c>
      <c r="I272" s="79">
        <f t="shared" si="16"/>
        <v>646.85</v>
      </c>
      <c r="J272" s="79">
        <f t="shared" ref="J272:J299" si="18">+I272*20</f>
        <v>12937</v>
      </c>
      <c r="K272" s="79">
        <f t="shared" si="17"/>
        <v>12937</v>
      </c>
    </row>
    <row r="273" spans="1:11" ht="78.75">
      <c r="A273" s="225" t="s">
        <v>1515</v>
      </c>
      <c r="B273" s="234" t="s">
        <v>1516</v>
      </c>
      <c r="C273" s="193">
        <v>45393</v>
      </c>
      <c r="D273" s="194"/>
      <c r="E273" s="195" t="s">
        <v>137</v>
      </c>
      <c r="F273" s="104">
        <v>1</v>
      </c>
      <c r="G273" s="78" t="s">
        <v>457</v>
      </c>
      <c r="H273" s="79">
        <v>4357.5</v>
      </c>
      <c r="I273" s="79">
        <f t="shared" si="16"/>
        <v>145.25</v>
      </c>
      <c r="J273" s="79">
        <f t="shared" si="18"/>
        <v>2905</v>
      </c>
      <c r="K273" s="79">
        <f t="shared" si="17"/>
        <v>2905</v>
      </c>
    </row>
    <row r="274" spans="1:11" ht="78.75">
      <c r="A274" s="233" t="s">
        <v>1513</v>
      </c>
      <c r="B274" s="229" t="s">
        <v>1514</v>
      </c>
      <c r="C274" s="193">
        <v>45393</v>
      </c>
      <c r="D274" s="194"/>
      <c r="E274" s="195" t="s">
        <v>155</v>
      </c>
      <c r="F274" s="104">
        <v>1</v>
      </c>
      <c r="G274" s="78" t="s">
        <v>457</v>
      </c>
      <c r="H274" s="79">
        <v>963.2</v>
      </c>
      <c r="I274" s="79">
        <f t="shared" si="16"/>
        <v>32.106666666666669</v>
      </c>
      <c r="J274" s="79">
        <f t="shared" si="18"/>
        <v>642.13333333333344</v>
      </c>
      <c r="K274" s="79">
        <f t="shared" si="17"/>
        <v>642.13333333333344</v>
      </c>
    </row>
    <row r="275" spans="1:11" ht="78.75">
      <c r="A275" s="233" t="s">
        <v>1513</v>
      </c>
      <c r="B275" s="229" t="s">
        <v>1514</v>
      </c>
      <c r="C275" s="193">
        <v>45393</v>
      </c>
      <c r="D275" s="194"/>
      <c r="E275" s="195" t="s">
        <v>157</v>
      </c>
      <c r="F275" s="104">
        <v>1</v>
      </c>
      <c r="G275" s="78" t="s">
        <v>457</v>
      </c>
      <c r="H275" s="79">
        <v>20188.5</v>
      </c>
      <c r="I275" s="79">
        <f t="shared" si="16"/>
        <v>672.95</v>
      </c>
      <c r="J275" s="79">
        <f t="shared" si="18"/>
        <v>13459</v>
      </c>
      <c r="K275" s="79">
        <f t="shared" si="17"/>
        <v>13459</v>
      </c>
    </row>
    <row r="276" spans="1:11" ht="78.75">
      <c r="A276" s="225" t="s">
        <v>1515</v>
      </c>
      <c r="B276" s="234" t="s">
        <v>1516</v>
      </c>
      <c r="C276" s="193">
        <v>45393</v>
      </c>
      <c r="D276" s="194"/>
      <c r="E276" s="195" t="s">
        <v>189</v>
      </c>
      <c r="F276" s="104">
        <v>1</v>
      </c>
      <c r="G276" s="78" t="s">
        <v>456</v>
      </c>
      <c r="H276" s="79">
        <v>19405.5</v>
      </c>
      <c r="I276" s="79">
        <f t="shared" si="16"/>
        <v>646.85</v>
      </c>
      <c r="J276" s="79">
        <f t="shared" si="18"/>
        <v>12937</v>
      </c>
      <c r="K276" s="79">
        <f t="shared" si="17"/>
        <v>12937</v>
      </c>
    </row>
    <row r="277" spans="1:11" ht="78.75">
      <c r="A277" s="225" t="s">
        <v>1515</v>
      </c>
      <c r="B277" s="234" t="s">
        <v>1516</v>
      </c>
      <c r="C277" s="193">
        <v>45393</v>
      </c>
      <c r="D277" s="194"/>
      <c r="E277" s="195" t="s">
        <v>137</v>
      </c>
      <c r="F277" s="104">
        <v>1</v>
      </c>
      <c r="G277" s="78" t="s">
        <v>456</v>
      </c>
      <c r="H277" s="79">
        <v>4357.5</v>
      </c>
      <c r="I277" s="79">
        <f t="shared" si="16"/>
        <v>145.25</v>
      </c>
      <c r="J277" s="79">
        <f t="shared" si="18"/>
        <v>2905</v>
      </c>
      <c r="K277" s="79">
        <f t="shared" si="17"/>
        <v>2905</v>
      </c>
    </row>
    <row r="278" spans="1:11" ht="78.75">
      <c r="A278" s="233" t="s">
        <v>1513</v>
      </c>
      <c r="B278" s="229" t="s">
        <v>1514</v>
      </c>
      <c r="C278" s="193">
        <v>45393</v>
      </c>
      <c r="D278" s="194"/>
      <c r="E278" s="195" t="s">
        <v>155</v>
      </c>
      <c r="F278" s="104">
        <v>1</v>
      </c>
      <c r="G278" s="78" t="s">
        <v>456</v>
      </c>
      <c r="H278" s="79">
        <v>963.2</v>
      </c>
      <c r="I278" s="79">
        <f t="shared" si="16"/>
        <v>32.106666666666669</v>
      </c>
      <c r="J278" s="79">
        <f t="shared" si="18"/>
        <v>642.13333333333344</v>
      </c>
      <c r="K278" s="79">
        <f t="shared" si="17"/>
        <v>642.13333333333344</v>
      </c>
    </row>
    <row r="279" spans="1:11" ht="78.75">
      <c r="A279" s="233" t="s">
        <v>1513</v>
      </c>
      <c r="B279" s="229" t="s">
        <v>1514</v>
      </c>
      <c r="C279" s="193">
        <v>45393</v>
      </c>
      <c r="D279" s="194"/>
      <c r="E279" s="195" t="s">
        <v>157</v>
      </c>
      <c r="F279" s="104">
        <v>1</v>
      </c>
      <c r="G279" s="78" t="s">
        <v>456</v>
      </c>
      <c r="H279" s="79">
        <v>20188.5</v>
      </c>
      <c r="I279" s="79">
        <f t="shared" si="16"/>
        <v>672.95</v>
      </c>
      <c r="J279" s="79">
        <f t="shared" si="18"/>
        <v>13459</v>
      </c>
      <c r="K279" s="79">
        <f t="shared" si="17"/>
        <v>13459</v>
      </c>
    </row>
    <row r="280" spans="1:11" ht="78.75">
      <c r="A280" s="225" t="s">
        <v>1515</v>
      </c>
      <c r="B280" s="234" t="s">
        <v>1516</v>
      </c>
      <c r="C280" s="193">
        <v>45393</v>
      </c>
      <c r="D280" s="194"/>
      <c r="E280" s="195" t="s">
        <v>189</v>
      </c>
      <c r="F280" s="104">
        <v>1</v>
      </c>
      <c r="G280" s="196" t="s">
        <v>1378</v>
      </c>
      <c r="H280" s="79">
        <v>19405.5</v>
      </c>
      <c r="I280" s="79">
        <f t="shared" si="16"/>
        <v>646.85</v>
      </c>
      <c r="J280" s="79">
        <f t="shared" si="18"/>
        <v>12937</v>
      </c>
      <c r="K280" s="79">
        <f t="shared" si="17"/>
        <v>12937</v>
      </c>
    </row>
    <row r="281" spans="1:11" ht="78.75">
      <c r="A281" s="225" t="s">
        <v>1515</v>
      </c>
      <c r="B281" s="234" t="s">
        <v>1516</v>
      </c>
      <c r="C281" s="193">
        <v>45393</v>
      </c>
      <c r="D281" s="194"/>
      <c r="E281" s="195" t="s">
        <v>137</v>
      </c>
      <c r="F281" s="104">
        <v>1</v>
      </c>
      <c r="G281" s="196" t="s">
        <v>1378</v>
      </c>
      <c r="H281" s="79">
        <v>4357.5</v>
      </c>
      <c r="I281" s="79">
        <f t="shared" si="16"/>
        <v>145.25</v>
      </c>
      <c r="J281" s="79">
        <f t="shared" si="18"/>
        <v>2905</v>
      </c>
      <c r="K281" s="79">
        <f t="shared" si="17"/>
        <v>2905</v>
      </c>
    </row>
    <row r="282" spans="1:11" ht="78.75">
      <c r="A282" s="233" t="s">
        <v>1513</v>
      </c>
      <c r="B282" s="229" t="s">
        <v>1514</v>
      </c>
      <c r="C282" s="193">
        <v>45393</v>
      </c>
      <c r="D282" s="194"/>
      <c r="E282" s="195" t="s">
        <v>155</v>
      </c>
      <c r="F282" s="104">
        <v>1</v>
      </c>
      <c r="G282" s="196" t="s">
        <v>1378</v>
      </c>
      <c r="H282" s="79">
        <v>963.2</v>
      </c>
      <c r="I282" s="79">
        <f t="shared" si="16"/>
        <v>32.106666666666669</v>
      </c>
      <c r="J282" s="79">
        <f t="shared" si="18"/>
        <v>642.13333333333344</v>
      </c>
      <c r="K282" s="79">
        <f t="shared" si="17"/>
        <v>642.13333333333344</v>
      </c>
    </row>
    <row r="283" spans="1:11" ht="78.75">
      <c r="A283" s="225" t="s">
        <v>1515</v>
      </c>
      <c r="B283" s="234" t="s">
        <v>1516</v>
      </c>
      <c r="C283" s="193">
        <v>45393</v>
      </c>
      <c r="D283" s="194"/>
      <c r="E283" s="195" t="s">
        <v>189</v>
      </c>
      <c r="F283" s="104">
        <v>2</v>
      </c>
      <c r="G283" s="196" t="s">
        <v>1375</v>
      </c>
      <c r="H283" s="79">
        <v>19405.5</v>
      </c>
      <c r="I283" s="79">
        <f t="shared" si="16"/>
        <v>646.85</v>
      </c>
      <c r="J283" s="79">
        <f t="shared" si="18"/>
        <v>12937</v>
      </c>
      <c r="K283" s="79">
        <f t="shared" si="17"/>
        <v>25874</v>
      </c>
    </row>
    <row r="284" spans="1:11" ht="78.75">
      <c r="A284" s="225" t="s">
        <v>1515</v>
      </c>
      <c r="B284" s="234" t="s">
        <v>1516</v>
      </c>
      <c r="C284" s="193">
        <v>45393</v>
      </c>
      <c r="D284" s="194"/>
      <c r="E284" s="195" t="s">
        <v>137</v>
      </c>
      <c r="F284" s="104">
        <v>1</v>
      </c>
      <c r="G284" s="196" t="s">
        <v>1375</v>
      </c>
      <c r="H284" s="79">
        <v>4357.5</v>
      </c>
      <c r="I284" s="79">
        <f t="shared" si="16"/>
        <v>145.25</v>
      </c>
      <c r="J284" s="79">
        <f t="shared" si="18"/>
        <v>2905</v>
      </c>
      <c r="K284" s="79">
        <f t="shared" si="17"/>
        <v>2905</v>
      </c>
    </row>
    <row r="285" spans="1:11" ht="78.75">
      <c r="A285" s="233" t="s">
        <v>1513</v>
      </c>
      <c r="B285" s="229" t="s">
        <v>1514</v>
      </c>
      <c r="C285" s="193">
        <v>45393</v>
      </c>
      <c r="D285" s="194"/>
      <c r="E285" s="195" t="s">
        <v>155</v>
      </c>
      <c r="F285" s="104">
        <v>1</v>
      </c>
      <c r="G285" s="196" t="s">
        <v>1375</v>
      </c>
      <c r="H285" s="79">
        <v>963.2</v>
      </c>
      <c r="I285" s="79">
        <f t="shared" si="16"/>
        <v>32.106666666666669</v>
      </c>
      <c r="J285" s="79">
        <f t="shared" si="18"/>
        <v>642.13333333333344</v>
      </c>
      <c r="K285" s="79">
        <f t="shared" si="17"/>
        <v>642.13333333333344</v>
      </c>
    </row>
    <row r="286" spans="1:11" ht="78.75">
      <c r="A286" s="225" t="s">
        <v>1515</v>
      </c>
      <c r="B286" s="234" t="s">
        <v>1516</v>
      </c>
      <c r="C286" s="193">
        <v>45393</v>
      </c>
      <c r="D286" s="194"/>
      <c r="E286" s="195" t="s">
        <v>189</v>
      </c>
      <c r="F286" s="104">
        <v>1</v>
      </c>
      <c r="G286" s="196" t="s">
        <v>1379</v>
      </c>
      <c r="H286" s="79">
        <v>19405.5</v>
      </c>
      <c r="I286" s="79">
        <f t="shared" si="16"/>
        <v>646.85</v>
      </c>
      <c r="J286" s="79">
        <f t="shared" si="18"/>
        <v>12937</v>
      </c>
      <c r="K286" s="79">
        <f t="shared" si="17"/>
        <v>12937</v>
      </c>
    </row>
    <row r="287" spans="1:11" ht="78.75">
      <c r="A287" s="225" t="s">
        <v>1515</v>
      </c>
      <c r="B287" s="234" t="s">
        <v>1516</v>
      </c>
      <c r="C287" s="193">
        <v>45393</v>
      </c>
      <c r="D287" s="194"/>
      <c r="E287" s="195" t="s">
        <v>137</v>
      </c>
      <c r="F287" s="104">
        <v>1</v>
      </c>
      <c r="G287" s="196" t="s">
        <v>1379</v>
      </c>
      <c r="H287" s="79">
        <v>4357.5</v>
      </c>
      <c r="I287" s="79">
        <f t="shared" si="16"/>
        <v>145.25</v>
      </c>
      <c r="J287" s="79">
        <f t="shared" si="18"/>
        <v>2905</v>
      </c>
      <c r="K287" s="79">
        <f t="shared" si="17"/>
        <v>2905</v>
      </c>
    </row>
    <row r="288" spans="1:11" ht="78.75">
      <c r="A288" s="233" t="s">
        <v>1513</v>
      </c>
      <c r="B288" s="229" t="s">
        <v>1514</v>
      </c>
      <c r="C288" s="193">
        <v>45393</v>
      </c>
      <c r="D288" s="194"/>
      <c r="E288" s="195" t="s">
        <v>155</v>
      </c>
      <c r="F288" s="104">
        <v>1</v>
      </c>
      <c r="G288" s="196" t="s">
        <v>1379</v>
      </c>
      <c r="H288" s="79">
        <v>963.2</v>
      </c>
      <c r="I288" s="79">
        <f t="shared" si="16"/>
        <v>32.106666666666669</v>
      </c>
      <c r="J288" s="79">
        <f t="shared" si="18"/>
        <v>642.13333333333344</v>
      </c>
      <c r="K288" s="79">
        <f t="shared" si="17"/>
        <v>642.13333333333344</v>
      </c>
    </row>
    <row r="289" spans="1:11" ht="78.75">
      <c r="A289" s="225" t="s">
        <v>1515</v>
      </c>
      <c r="B289" s="234" t="s">
        <v>1516</v>
      </c>
      <c r="C289" s="193">
        <v>45393</v>
      </c>
      <c r="D289" s="194"/>
      <c r="E289" s="195" t="s">
        <v>189</v>
      </c>
      <c r="F289" s="104">
        <v>1</v>
      </c>
      <c r="G289" s="196" t="s">
        <v>1380</v>
      </c>
      <c r="H289" s="79">
        <v>19405.5</v>
      </c>
      <c r="I289" s="79">
        <f t="shared" si="16"/>
        <v>646.85</v>
      </c>
      <c r="J289" s="79">
        <f t="shared" si="18"/>
        <v>12937</v>
      </c>
      <c r="K289" s="79">
        <f t="shared" si="17"/>
        <v>12937</v>
      </c>
    </row>
    <row r="290" spans="1:11" ht="78.75">
      <c r="A290" s="225" t="s">
        <v>1515</v>
      </c>
      <c r="B290" s="234" t="s">
        <v>1516</v>
      </c>
      <c r="C290" s="193">
        <v>45393</v>
      </c>
      <c r="D290" s="194"/>
      <c r="E290" s="195" t="s">
        <v>137</v>
      </c>
      <c r="F290" s="104">
        <v>1</v>
      </c>
      <c r="G290" s="196" t="s">
        <v>1380</v>
      </c>
      <c r="H290" s="79">
        <v>4357.5</v>
      </c>
      <c r="I290" s="79">
        <f t="shared" si="16"/>
        <v>145.25</v>
      </c>
      <c r="J290" s="79">
        <f t="shared" si="18"/>
        <v>2905</v>
      </c>
      <c r="K290" s="79">
        <f t="shared" si="17"/>
        <v>2905</v>
      </c>
    </row>
    <row r="291" spans="1:11" ht="78.75">
      <c r="A291" s="233" t="s">
        <v>1513</v>
      </c>
      <c r="B291" s="229" t="s">
        <v>1514</v>
      </c>
      <c r="C291" s="193">
        <v>45393</v>
      </c>
      <c r="D291" s="194"/>
      <c r="E291" s="195" t="s">
        <v>155</v>
      </c>
      <c r="F291" s="104">
        <v>1</v>
      </c>
      <c r="G291" s="196" t="s">
        <v>1380</v>
      </c>
      <c r="H291" s="79">
        <v>963.2</v>
      </c>
      <c r="I291" s="79">
        <f t="shared" si="16"/>
        <v>32.106666666666669</v>
      </c>
      <c r="J291" s="79">
        <f t="shared" si="18"/>
        <v>642.13333333333344</v>
      </c>
      <c r="K291" s="79">
        <f t="shared" si="17"/>
        <v>642.13333333333344</v>
      </c>
    </row>
    <row r="292" spans="1:11" ht="78.75">
      <c r="A292" s="225" t="s">
        <v>1515</v>
      </c>
      <c r="B292" s="234" t="s">
        <v>1516</v>
      </c>
      <c r="C292" s="193">
        <v>45393</v>
      </c>
      <c r="D292" s="194"/>
      <c r="E292" s="195" t="s">
        <v>189</v>
      </c>
      <c r="F292" s="104">
        <v>1</v>
      </c>
      <c r="G292" s="196" t="s">
        <v>1381</v>
      </c>
      <c r="H292" s="79">
        <v>19405.5</v>
      </c>
      <c r="I292" s="79">
        <f t="shared" si="16"/>
        <v>646.85</v>
      </c>
      <c r="J292" s="79">
        <f t="shared" si="18"/>
        <v>12937</v>
      </c>
      <c r="K292" s="79">
        <f t="shared" si="17"/>
        <v>12937</v>
      </c>
    </row>
    <row r="293" spans="1:11" ht="78.75">
      <c r="A293" s="225" t="s">
        <v>1515</v>
      </c>
      <c r="B293" s="234" t="s">
        <v>1516</v>
      </c>
      <c r="C293" s="193">
        <v>45393</v>
      </c>
      <c r="D293" s="194"/>
      <c r="E293" s="195" t="s">
        <v>137</v>
      </c>
      <c r="F293" s="104">
        <v>1</v>
      </c>
      <c r="G293" s="196" t="s">
        <v>1381</v>
      </c>
      <c r="H293" s="79">
        <v>4357.5</v>
      </c>
      <c r="I293" s="79">
        <f t="shared" si="16"/>
        <v>145.25</v>
      </c>
      <c r="J293" s="79">
        <f t="shared" si="18"/>
        <v>2905</v>
      </c>
      <c r="K293" s="79">
        <f t="shared" si="17"/>
        <v>2905</v>
      </c>
    </row>
    <row r="294" spans="1:11" ht="78.75">
      <c r="A294" s="233" t="s">
        <v>1513</v>
      </c>
      <c r="B294" s="229" t="s">
        <v>1514</v>
      </c>
      <c r="C294" s="193">
        <v>45393</v>
      </c>
      <c r="D294" s="194"/>
      <c r="E294" s="195" t="s">
        <v>155</v>
      </c>
      <c r="F294" s="104">
        <v>1</v>
      </c>
      <c r="G294" s="196" t="s">
        <v>1381</v>
      </c>
      <c r="H294" s="79">
        <v>963.2</v>
      </c>
      <c r="I294" s="79">
        <f t="shared" si="16"/>
        <v>32.106666666666669</v>
      </c>
      <c r="J294" s="79">
        <f t="shared" si="18"/>
        <v>642.13333333333344</v>
      </c>
      <c r="K294" s="79">
        <f t="shared" si="17"/>
        <v>642.13333333333344</v>
      </c>
    </row>
    <row r="295" spans="1:11" ht="78.75">
      <c r="A295" s="225" t="s">
        <v>1515</v>
      </c>
      <c r="B295" s="234" t="s">
        <v>1516</v>
      </c>
      <c r="C295" s="193">
        <v>45393</v>
      </c>
      <c r="D295" s="194"/>
      <c r="E295" s="195" t="s">
        <v>189</v>
      </c>
      <c r="F295" s="104">
        <v>4</v>
      </c>
      <c r="G295" s="196" t="s">
        <v>465</v>
      </c>
      <c r="H295" s="79">
        <v>19405.5</v>
      </c>
      <c r="I295" s="79">
        <f t="shared" si="16"/>
        <v>646.85</v>
      </c>
      <c r="J295" s="79">
        <f t="shared" si="18"/>
        <v>12937</v>
      </c>
      <c r="K295" s="79">
        <f t="shared" si="17"/>
        <v>51748</v>
      </c>
    </row>
    <row r="296" spans="1:11" ht="78.75">
      <c r="A296" s="225" t="s">
        <v>1515</v>
      </c>
      <c r="B296" s="234" t="s">
        <v>1516</v>
      </c>
      <c r="C296" s="193">
        <v>45393</v>
      </c>
      <c r="D296" s="194"/>
      <c r="E296" s="195" t="s">
        <v>137</v>
      </c>
      <c r="F296" s="104">
        <v>2</v>
      </c>
      <c r="G296" s="196" t="s">
        <v>465</v>
      </c>
      <c r="H296" s="79">
        <v>4357.5</v>
      </c>
      <c r="I296" s="79">
        <f t="shared" si="16"/>
        <v>145.25</v>
      </c>
      <c r="J296" s="79">
        <f t="shared" si="18"/>
        <v>2905</v>
      </c>
      <c r="K296" s="79">
        <f t="shared" si="17"/>
        <v>5810</v>
      </c>
    </row>
    <row r="297" spans="1:11" ht="78.75">
      <c r="A297" s="225" t="s">
        <v>1515</v>
      </c>
      <c r="B297" s="234" t="s">
        <v>1516</v>
      </c>
      <c r="C297" s="193">
        <v>45393</v>
      </c>
      <c r="D297" s="194"/>
      <c r="E297" s="195" t="s">
        <v>181</v>
      </c>
      <c r="F297" s="104">
        <v>1</v>
      </c>
      <c r="G297" s="196" t="s">
        <v>465</v>
      </c>
      <c r="H297" s="82">
        <v>20069.25</v>
      </c>
      <c r="I297" s="79">
        <f t="shared" si="16"/>
        <v>668.97500000000002</v>
      </c>
      <c r="J297" s="79">
        <f t="shared" si="18"/>
        <v>13379.5</v>
      </c>
      <c r="K297" s="79">
        <f t="shared" si="17"/>
        <v>13379.5</v>
      </c>
    </row>
    <row r="298" spans="1:11" ht="78.75">
      <c r="A298" s="225" t="s">
        <v>1515</v>
      </c>
      <c r="B298" s="234" t="s">
        <v>1516</v>
      </c>
      <c r="C298" s="193">
        <v>45393</v>
      </c>
      <c r="D298" s="194"/>
      <c r="E298" s="195" t="s">
        <v>181</v>
      </c>
      <c r="F298" s="104">
        <v>1</v>
      </c>
      <c r="G298" s="196" t="s">
        <v>465</v>
      </c>
      <c r="H298" s="82">
        <v>20069.25</v>
      </c>
      <c r="I298" s="79">
        <f t="shared" si="16"/>
        <v>668.97500000000002</v>
      </c>
      <c r="J298" s="79">
        <f t="shared" si="18"/>
        <v>13379.5</v>
      </c>
      <c r="K298" s="79">
        <f t="shared" si="17"/>
        <v>13379.5</v>
      </c>
    </row>
    <row r="299" spans="1:11" ht="78.75">
      <c r="A299" s="225" t="s">
        <v>1515</v>
      </c>
      <c r="B299" s="234" t="s">
        <v>1516</v>
      </c>
      <c r="C299" s="193">
        <v>45393</v>
      </c>
      <c r="D299" s="194"/>
      <c r="E299" s="195" t="s">
        <v>181</v>
      </c>
      <c r="F299" s="104">
        <v>1</v>
      </c>
      <c r="G299" s="196" t="s">
        <v>465</v>
      </c>
      <c r="H299" s="82">
        <v>20069.25</v>
      </c>
      <c r="I299" s="79">
        <f t="shared" si="16"/>
        <v>668.97500000000002</v>
      </c>
      <c r="J299" s="79">
        <f t="shared" si="18"/>
        <v>13379.5</v>
      </c>
      <c r="K299" s="79">
        <f t="shared" si="17"/>
        <v>13379.5</v>
      </c>
    </row>
    <row r="300" spans="1:11" ht="78.75">
      <c r="A300" s="233" t="s">
        <v>1513</v>
      </c>
      <c r="B300" s="229" t="s">
        <v>1514</v>
      </c>
      <c r="C300" s="193">
        <v>45390</v>
      </c>
      <c r="D300" s="194"/>
      <c r="E300" s="195" t="s">
        <v>188</v>
      </c>
      <c r="F300" s="104">
        <v>6</v>
      </c>
      <c r="G300" s="196" t="s">
        <v>464</v>
      </c>
      <c r="H300" s="79">
        <v>655.20000000000005</v>
      </c>
      <c r="I300" s="79">
        <f t="shared" si="16"/>
        <v>21.84</v>
      </c>
      <c r="J300" s="79">
        <f>+I300*23</f>
        <v>502.32</v>
      </c>
      <c r="K300" s="79">
        <f t="shared" si="17"/>
        <v>3013.92</v>
      </c>
    </row>
    <row r="301" spans="1:11" ht="78.75">
      <c r="A301" s="233" t="s">
        <v>1513</v>
      </c>
      <c r="B301" s="229" t="s">
        <v>1514</v>
      </c>
      <c r="C301" s="193">
        <v>45390</v>
      </c>
      <c r="D301" s="194"/>
      <c r="E301" s="195" t="s">
        <v>1392</v>
      </c>
      <c r="F301" s="104">
        <v>10</v>
      </c>
      <c r="G301" s="196" t="s">
        <v>464</v>
      </c>
      <c r="H301" s="79">
        <v>1508</v>
      </c>
      <c r="I301" s="79">
        <f t="shared" si="16"/>
        <v>50.266666666666666</v>
      </c>
      <c r="J301" s="79">
        <f t="shared" ref="J301:J302" si="19">+I301*23</f>
        <v>1156.1333333333332</v>
      </c>
      <c r="K301" s="79">
        <f t="shared" si="17"/>
        <v>11561.333333333332</v>
      </c>
    </row>
    <row r="302" spans="1:11" ht="78.75">
      <c r="A302" s="225" t="s">
        <v>1515</v>
      </c>
      <c r="B302" s="234" t="s">
        <v>1516</v>
      </c>
      <c r="C302" s="193">
        <v>45390</v>
      </c>
      <c r="D302" s="194"/>
      <c r="E302" s="195" t="s">
        <v>189</v>
      </c>
      <c r="F302" s="104">
        <v>7</v>
      </c>
      <c r="G302" s="196" t="s">
        <v>464</v>
      </c>
      <c r="H302" s="79">
        <v>19405.5</v>
      </c>
      <c r="I302" s="79">
        <f t="shared" si="16"/>
        <v>646.85</v>
      </c>
      <c r="J302" s="79">
        <f t="shared" si="19"/>
        <v>14877.550000000001</v>
      </c>
      <c r="K302" s="79">
        <f t="shared" si="17"/>
        <v>104142.85</v>
      </c>
    </row>
    <row r="303" spans="1:11" ht="78.75">
      <c r="A303" s="225" t="s">
        <v>1515</v>
      </c>
      <c r="B303" s="234" t="s">
        <v>1516</v>
      </c>
      <c r="C303" s="193">
        <v>45386</v>
      </c>
      <c r="D303" s="194"/>
      <c r="E303" s="195" t="s">
        <v>187</v>
      </c>
      <c r="F303" s="104">
        <v>1</v>
      </c>
      <c r="G303" s="196" t="s">
        <v>1377</v>
      </c>
      <c r="H303" s="79">
        <v>87613.5</v>
      </c>
      <c r="I303" s="79">
        <f t="shared" si="16"/>
        <v>2920.45</v>
      </c>
      <c r="J303" s="79">
        <f>+I303*27</f>
        <v>78852.149999999994</v>
      </c>
      <c r="K303" s="79">
        <f t="shared" si="17"/>
        <v>78852.149999999994</v>
      </c>
    </row>
    <row r="304" spans="1:11" ht="78.75">
      <c r="A304" s="233" t="s">
        <v>1513</v>
      </c>
      <c r="B304" s="229" t="s">
        <v>1514</v>
      </c>
      <c r="C304" s="193">
        <v>45386</v>
      </c>
      <c r="D304" s="194"/>
      <c r="E304" s="195" t="s">
        <v>157</v>
      </c>
      <c r="F304" s="104">
        <v>1</v>
      </c>
      <c r="G304" s="78" t="s">
        <v>456</v>
      </c>
      <c r="H304" s="79">
        <v>20188.5</v>
      </c>
      <c r="I304" s="79">
        <f t="shared" si="16"/>
        <v>672.95</v>
      </c>
      <c r="J304" s="79">
        <f t="shared" ref="J304:J305" si="20">+I304*27</f>
        <v>18169.650000000001</v>
      </c>
      <c r="K304" s="79">
        <f t="shared" si="17"/>
        <v>18169.650000000001</v>
      </c>
    </row>
    <row r="305" spans="1:11" ht="78.75">
      <c r="A305" s="233" t="s">
        <v>1513</v>
      </c>
      <c r="B305" s="229" t="s">
        <v>1514</v>
      </c>
      <c r="C305" s="193">
        <v>45386</v>
      </c>
      <c r="D305" s="194"/>
      <c r="E305" s="195" t="s">
        <v>157</v>
      </c>
      <c r="F305" s="104">
        <v>1</v>
      </c>
      <c r="G305" s="78" t="s">
        <v>457</v>
      </c>
      <c r="H305" s="79">
        <v>20188.5</v>
      </c>
      <c r="I305" s="79">
        <f t="shared" si="16"/>
        <v>672.95</v>
      </c>
      <c r="J305" s="79">
        <f t="shared" si="20"/>
        <v>18169.650000000001</v>
      </c>
      <c r="K305" s="79">
        <f t="shared" si="17"/>
        <v>18169.650000000001</v>
      </c>
    </row>
    <row r="306" spans="1:11" ht="78.75">
      <c r="A306" s="233" t="s">
        <v>1513</v>
      </c>
      <c r="B306" s="229" t="s">
        <v>1514</v>
      </c>
      <c r="C306" s="193">
        <v>45385</v>
      </c>
      <c r="D306" s="194"/>
      <c r="E306" s="195" t="s">
        <v>157</v>
      </c>
      <c r="F306" s="104">
        <v>1</v>
      </c>
      <c r="G306" s="78" t="s">
        <v>458</v>
      </c>
      <c r="H306" s="79">
        <v>20188.5</v>
      </c>
      <c r="I306" s="79">
        <f t="shared" si="16"/>
        <v>672.95</v>
      </c>
      <c r="J306" s="79">
        <f>+I306*28</f>
        <v>18842.600000000002</v>
      </c>
      <c r="K306" s="79">
        <f t="shared" si="17"/>
        <v>18842.600000000002</v>
      </c>
    </row>
    <row r="307" spans="1:11" ht="78.75">
      <c r="A307" s="225" t="s">
        <v>1515</v>
      </c>
      <c r="B307" s="234" t="s">
        <v>1516</v>
      </c>
      <c r="C307" s="193">
        <v>45386</v>
      </c>
      <c r="D307" s="194"/>
      <c r="E307" s="195" t="s">
        <v>187</v>
      </c>
      <c r="F307" s="104">
        <v>1</v>
      </c>
      <c r="G307" s="78" t="s">
        <v>1388</v>
      </c>
      <c r="H307" s="79">
        <v>87613.5</v>
      </c>
      <c r="I307" s="79">
        <f t="shared" si="16"/>
        <v>2920.45</v>
      </c>
      <c r="J307" s="79">
        <f>+I307*27</f>
        <v>78852.149999999994</v>
      </c>
      <c r="K307" s="79">
        <f t="shared" si="17"/>
        <v>78852.149999999994</v>
      </c>
    </row>
    <row r="308" spans="1:11" ht="78.75">
      <c r="A308" s="225" t="s">
        <v>1515</v>
      </c>
      <c r="B308" s="234" t="s">
        <v>1516</v>
      </c>
      <c r="C308" s="193">
        <v>45386</v>
      </c>
      <c r="D308" s="194"/>
      <c r="E308" s="195" t="s">
        <v>187</v>
      </c>
      <c r="F308" s="104">
        <v>1</v>
      </c>
      <c r="G308" s="196" t="s">
        <v>1387</v>
      </c>
      <c r="H308" s="79">
        <v>87613.5</v>
      </c>
      <c r="I308" s="79">
        <f t="shared" si="16"/>
        <v>2920.45</v>
      </c>
      <c r="J308" s="79">
        <f t="shared" ref="J308:J309" si="21">+I308*27</f>
        <v>78852.149999999994</v>
      </c>
      <c r="K308" s="79">
        <f t="shared" si="17"/>
        <v>78852.149999999994</v>
      </c>
    </row>
    <row r="309" spans="1:11" ht="78.75">
      <c r="A309" s="225" t="s">
        <v>1515</v>
      </c>
      <c r="B309" s="234" t="s">
        <v>1516</v>
      </c>
      <c r="C309" s="193">
        <v>45386</v>
      </c>
      <c r="D309" s="194"/>
      <c r="E309" s="195" t="s">
        <v>187</v>
      </c>
      <c r="F309" s="104">
        <v>1</v>
      </c>
      <c r="G309" s="196" t="s">
        <v>1387</v>
      </c>
      <c r="H309" s="79">
        <v>87613.5</v>
      </c>
      <c r="I309" s="79">
        <f t="shared" si="16"/>
        <v>2920.45</v>
      </c>
      <c r="J309" s="79">
        <f t="shared" si="21"/>
        <v>78852.149999999994</v>
      </c>
      <c r="K309" s="79">
        <f t="shared" si="17"/>
        <v>78852.149999999994</v>
      </c>
    </row>
    <row r="310" spans="1:11" ht="78.75">
      <c r="A310" s="225" t="s">
        <v>1515</v>
      </c>
      <c r="B310" s="234" t="s">
        <v>1516</v>
      </c>
      <c r="C310" s="193">
        <v>45383</v>
      </c>
      <c r="D310" s="194"/>
      <c r="E310" s="195" t="s">
        <v>136</v>
      </c>
      <c r="F310" s="104">
        <v>2</v>
      </c>
      <c r="G310" s="196" t="s">
        <v>1378</v>
      </c>
      <c r="H310" s="79">
        <v>9943.5</v>
      </c>
      <c r="I310" s="79">
        <f t="shared" si="16"/>
        <v>331.45</v>
      </c>
      <c r="J310" s="79">
        <f>+I310*30</f>
        <v>9943.5</v>
      </c>
      <c r="K310" s="79">
        <f t="shared" si="17"/>
        <v>19887</v>
      </c>
    </row>
    <row r="311" spans="1:11" ht="78.75">
      <c r="A311" s="233" t="s">
        <v>1513</v>
      </c>
      <c r="B311" s="229" t="s">
        <v>1514</v>
      </c>
      <c r="C311" s="193">
        <v>45383</v>
      </c>
      <c r="D311" s="194"/>
      <c r="E311" s="195" t="s">
        <v>156</v>
      </c>
      <c r="F311" s="104">
        <v>1</v>
      </c>
      <c r="G311" s="196" t="s">
        <v>1378</v>
      </c>
      <c r="H311" s="79">
        <v>19469.25</v>
      </c>
      <c r="I311" s="79">
        <f t="shared" si="16"/>
        <v>648.97500000000002</v>
      </c>
      <c r="J311" s="79">
        <f t="shared" ref="J311:J330" si="22">+I311*30</f>
        <v>19469.25</v>
      </c>
      <c r="K311" s="79">
        <f t="shared" si="17"/>
        <v>19469.25</v>
      </c>
    </row>
    <row r="312" spans="1:11" ht="78.75">
      <c r="A312" s="233" t="s">
        <v>1513</v>
      </c>
      <c r="B312" s="229" t="s">
        <v>1514</v>
      </c>
      <c r="C312" s="193">
        <v>45383</v>
      </c>
      <c r="D312" s="194"/>
      <c r="E312" s="195" t="s">
        <v>157</v>
      </c>
      <c r="F312" s="104">
        <v>2</v>
      </c>
      <c r="G312" s="196" t="s">
        <v>1378</v>
      </c>
      <c r="H312" s="79">
        <v>20188.5</v>
      </c>
      <c r="I312" s="79">
        <f t="shared" si="16"/>
        <v>672.95</v>
      </c>
      <c r="J312" s="79">
        <f t="shared" si="22"/>
        <v>20188.5</v>
      </c>
      <c r="K312" s="79">
        <f t="shared" si="17"/>
        <v>40377</v>
      </c>
    </row>
    <row r="313" spans="1:11" ht="78.75">
      <c r="A313" s="225" t="s">
        <v>1515</v>
      </c>
      <c r="B313" s="234" t="s">
        <v>1516</v>
      </c>
      <c r="C313" s="193">
        <v>45383</v>
      </c>
      <c r="D313" s="194"/>
      <c r="E313" s="195" t="s">
        <v>136</v>
      </c>
      <c r="F313" s="104">
        <v>2</v>
      </c>
      <c r="G313" s="196" t="s">
        <v>1375</v>
      </c>
      <c r="H313" s="79">
        <v>9943.5</v>
      </c>
      <c r="I313" s="79">
        <f t="shared" si="16"/>
        <v>331.45</v>
      </c>
      <c r="J313" s="79">
        <f t="shared" si="22"/>
        <v>9943.5</v>
      </c>
      <c r="K313" s="79">
        <f t="shared" si="17"/>
        <v>19887</v>
      </c>
    </row>
    <row r="314" spans="1:11" ht="78.75">
      <c r="A314" s="233" t="s">
        <v>1513</v>
      </c>
      <c r="B314" s="229" t="s">
        <v>1514</v>
      </c>
      <c r="C314" s="193">
        <v>45383</v>
      </c>
      <c r="D314" s="194"/>
      <c r="E314" s="195" t="s">
        <v>156</v>
      </c>
      <c r="F314" s="104">
        <v>1</v>
      </c>
      <c r="G314" s="196" t="s">
        <v>1375</v>
      </c>
      <c r="H314" s="79">
        <v>19469.25</v>
      </c>
      <c r="I314" s="79">
        <f t="shared" si="16"/>
        <v>648.97500000000002</v>
      </c>
      <c r="J314" s="79">
        <f t="shared" si="22"/>
        <v>19469.25</v>
      </c>
      <c r="K314" s="79">
        <f t="shared" si="17"/>
        <v>19469.25</v>
      </c>
    </row>
    <row r="315" spans="1:11" ht="78.75">
      <c r="A315" s="233" t="s">
        <v>1513</v>
      </c>
      <c r="B315" s="229" t="s">
        <v>1514</v>
      </c>
      <c r="C315" s="193">
        <v>45383</v>
      </c>
      <c r="D315" s="194"/>
      <c r="E315" s="195" t="s">
        <v>156</v>
      </c>
      <c r="F315" s="104">
        <v>1</v>
      </c>
      <c r="G315" s="196" t="s">
        <v>1375</v>
      </c>
      <c r="H315" s="79">
        <v>19469.25</v>
      </c>
      <c r="I315" s="79">
        <f t="shared" si="16"/>
        <v>648.97500000000002</v>
      </c>
      <c r="J315" s="79">
        <f t="shared" si="22"/>
        <v>19469.25</v>
      </c>
      <c r="K315" s="79">
        <f t="shared" si="17"/>
        <v>19469.25</v>
      </c>
    </row>
    <row r="316" spans="1:11" ht="78.75">
      <c r="A316" s="233" t="s">
        <v>1513</v>
      </c>
      <c r="B316" s="229" t="s">
        <v>1514</v>
      </c>
      <c r="C316" s="193">
        <v>45383</v>
      </c>
      <c r="D316" s="194"/>
      <c r="E316" s="195" t="s">
        <v>157</v>
      </c>
      <c r="F316" s="104">
        <v>3</v>
      </c>
      <c r="G316" s="196" t="s">
        <v>1375</v>
      </c>
      <c r="H316" s="79">
        <v>20188.5</v>
      </c>
      <c r="I316" s="79">
        <f t="shared" si="16"/>
        <v>672.95</v>
      </c>
      <c r="J316" s="79">
        <f t="shared" si="22"/>
        <v>20188.5</v>
      </c>
      <c r="K316" s="79">
        <f t="shared" si="17"/>
        <v>60565.5</v>
      </c>
    </row>
    <row r="317" spans="1:11" ht="78.75">
      <c r="A317" s="225" t="s">
        <v>1515</v>
      </c>
      <c r="B317" s="234" t="s">
        <v>1516</v>
      </c>
      <c r="C317" s="193">
        <v>45383</v>
      </c>
      <c r="D317" s="194"/>
      <c r="E317" s="195" t="s">
        <v>136</v>
      </c>
      <c r="F317" s="104">
        <v>2</v>
      </c>
      <c r="G317" s="196" t="s">
        <v>1379</v>
      </c>
      <c r="H317" s="79">
        <v>9943.5</v>
      </c>
      <c r="I317" s="79">
        <f t="shared" si="16"/>
        <v>331.45</v>
      </c>
      <c r="J317" s="79">
        <f t="shared" si="22"/>
        <v>9943.5</v>
      </c>
      <c r="K317" s="79">
        <f t="shared" si="17"/>
        <v>19887</v>
      </c>
    </row>
    <row r="318" spans="1:11" ht="78.75">
      <c r="A318" s="233" t="s">
        <v>1513</v>
      </c>
      <c r="B318" s="229" t="s">
        <v>1514</v>
      </c>
      <c r="C318" s="193">
        <v>45383</v>
      </c>
      <c r="D318" s="194"/>
      <c r="E318" s="195" t="s">
        <v>156</v>
      </c>
      <c r="F318" s="104">
        <v>1</v>
      </c>
      <c r="G318" s="196" t="s">
        <v>1379</v>
      </c>
      <c r="H318" s="79">
        <v>19469.25</v>
      </c>
      <c r="I318" s="79">
        <f t="shared" si="16"/>
        <v>648.97500000000002</v>
      </c>
      <c r="J318" s="79">
        <f t="shared" si="22"/>
        <v>19469.25</v>
      </c>
      <c r="K318" s="79">
        <f t="shared" si="17"/>
        <v>19469.25</v>
      </c>
    </row>
    <row r="319" spans="1:11" ht="78.75">
      <c r="A319" s="233" t="s">
        <v>1513</v>
      </c>
      <c r="B319" s="229" t="s">
        <v>1514</v>
      </c>
      <c r="C319" s="193">
        <v>45383</v>
      </c>
      <c r="D319" s="194"/>
      <c r="E319" s="195" t="s">
        <v>157</v>
      </c>
      <c r="F319" s="104">
        <v>1</v>
      </c>
      <c r="G319" s="196" t="s">
        <v>1379</v>
      </c>
      <c r="H319" s="79">
        <v>20188.5</v>
      </c>
      <c r="I319" s="79">
        <f t="shared" si="16"/>
        <v>672.95</v>
      </c>
      <c r="J319" s="79">
        <f t="shared" si="22"/>
        <v>20188.5</v>
      </c>
      <c r="K319" s="79">
        <f t="shared" si="17"/>
        <v>20188.5</v>
      </c>
    </row>
    <row r="320" spans="1:11" ht="78.75">
      <c r="A320" s="233" t="s">
        <v>1513</v>
      </c>
      <c r="B320" s="229" t="s">
        <v>1514</v>
      </c>
      <c r="C320" s="193">
        <v>45383</v>
      </c>
      <c r="D320" s="194"/>
      <c r="E320" s="195" t="s">
        <v>166</v>
      </c>
      <c r="F320" s="104">
        <v>1</v>
      </c>
      <c r="G320" s="196" t="s">
        <v>1379</v>
      </c>
      <c r="H320" s="79">
        <v>2753.6</v>
      </c>
      <c r="I320" s="79">
        <f t="shared" si="16"/>
        <v>91.786666666666662</v>
      </c>
      <c r="J320" s="79">
        <f t="shared" si="22"/>
        <v>2753.6</v>
      </c>
      <c r="K320" s="79">
        <f t="shared" si="17"/>
        <v>2753.6</v>
      </c>
    </row>
    <row r="321" spans="1:11" ht="78.75">
      <c r="A321" s="225" t="s">
        <v>1515</v>
      </c>
      <c r="B321" s="234" t="s">
        <v>1516</v>
      </c>
      <c r="C321" s="193">
        <v>45383</v>
      </c>
      <c r="D321" s="194"/>
      <c r="E321" s="195" t="s">
        <v>136</v>
      </c>
      <c r="F321" s="104">
        <v>2</v>
      </c>
      <c r="G321" s="196" t="s">
        <v>1380</v>
      </c>
      <c r="H321" s="79">
        <v>9943.5</v>
      </c>
      <c r="I321" s="79">
        <f t="shared" si="16"/>
        <v>331.45</v>
      </c>
      <c r="J321" s="79">
        <f t="shared" si="22"/>
        <v>9943.5</v>
      </c>
      <c r="K321" s="79">
        <f t="shared" si="17"/>
        <v>19887</v>
      </c>
    </row>
    <row r="322" spans="1:11" ht="78.75">
      <c r="A322" s="233" t="s">
        <v>1513</v>
      </c>
      <c r="B322" s="229" t="s">
        <v>1514</v>
      </c>
      <c r="C322" s="193">
        <v>45383</v>
      </c>
      <c r="D322" s="194"/>
      <c r="E322" s="195" t="s">
        <v>156</v>
      </c>
      <c r="F322" s="104">
        <v>1</v>
      </c>
      <c r="G322" s="196" t="s">
        <v>1380</v>
      </c>
      <c r="H322" s="79">
        <v>19469.25</v>
      </c>
      <c r="I322" s="79">
        <f t="shared" si="16"/>
        <v>648.97500000000002</v>
      </c>
      <c r="J322" s="79">
        <f t="shared" si="22"/>
        <v>19469.25</v>
      </c>
      <c r="K322" s="79">
        <f t="shared" si="17"/>
        <v>19469.25</v>
      </c>
    </row>
    <row r="323" spans="1:11" ht="78.75">
      <c r="A323" s="233" t="s">
        <v>1513</v>
      </c>
      <c r="B323" s="229" t="s">
        <v>1514</v>
      </c>
      <c r="C323" s="193">
        <v>45383</v>
      </c>
      <c r="D323" s="194"/>
      <c r="E323" s="195" t="s">
        <v>157</v>
      </c>
      <c r="F323" s="104">
        <v>1</v>
      </c>
      <c r="G323" s="196" t="s">
        <v>1380</v>
      </c>
      <c r="H323" s="79">
        <v>20188.5</v>
      </c>
      <c r="I323" s="79">
        <f t="shared" ref="I323:I330" si="23">+H323/30</f>
        <v>672.95</v>
      </c>
      <c r="J323" s="79">
        <f t="shared" si="22"/>
        <v>20188.5</v>
      </c>
      <c r="K323" s="79">
        <f t="shared" ref="K323:K330" si="24">+F323*J323</f>
        <v>20188.5</v>
      </c>
    </row>
    <row r="324" spans="1:11" ht="78.75">
      <c r="A324" s="225" t="s">
        <v>1515</v>
      </c>
      <c r="B324" s="234" t="s">
        <v>1516</v>
      </c>
      <c r="C324" s="193">
        <v>45383</v>
      </c>
      <c r="D324" s="194"/>
      <c r="E324" s="195" t="s">
        <v>136</v>
      </c>
      <c r="F324" s="104">
        <v>2</v>
      </c>
      <c r="G324" s="196" t="s">
        <v>1377</v>
      </c>
      <c r="H324" s="79">
        <v>9943.5</v>
      </c>
      <c r="I324" s="79">
        <f t="shared" si="23"/>
        <v>331.45</v>
      </c>
      <c r="J324" s="79">
        <f t="shared" si="22"/>
        <v>9943.5</v>
      </c>
      <c r="K324" s="79">
        <f t="shared" si="24"/>
        <v>19887</v>
      </c>
    </row>
    <row r="325" spans="1:11" ht="78.75">
      <c r="A325" s="233" t="s">
        <v>1513</v>
      </c>
      <c r="B325" s="229" t="s">
        <v>1514</v>
      </c>
      <c r="C325" s="193">
        <v>45383</v>
      </c>
      <c r="D325" s="194"/>
      <c r="E325" s="195" t="s">
        <v>140</v>
      </c>
      <c r="F325" s="104">
        <v>1</v>
      </c>
      <c r="G325" s="196" t="s">
        <v>1377</v>
      </c>
      <c r="H325" s="79">
        <v>17405.599999999999</v>
      </c>
      <c r="I325" s="79">
        <f t="shared" si="23"/>
        <v>580.18666666666661</v>
      </c>
      <c r="J325" s="79">
        <f t="shared" si="22"/>
        <v>17405.599999999999</v>
      </c>
      <c r="K325" s="79">
        <f t="shared" si="24"/>
        <v>17405.599999999999</v>
      </c>
    </row>
    <row r="326" spans="1:11" ht="78.75">
      <c r="A326" s="233" t="s">
        <v>1513</v>
      </c>
      <c r="B326" s="229" t="s">
        <v>1514</v>
      </c>
      <c r="C326" s="193">
        <v>45383</v>
      </c>
      <c r="D326" s="194"/>
      <c r="E326" s="195" t="s">
        <v>157</v>
      </c>
      <c r="F326" s="104">
        <v>2</v>
      </c>
      <c r="G326" s="196" t="s">
        <v>1377</v>
      </c>
      <c r="H326" s="79">
        <v>20188.5</v>
      </c>
      <c r="I326" s="79">
        <f t="shared" si="23"/>
        <v>672.95</v>
      </c>
      <c r="J326" s="79">
        <f t="shared" si="22"/>
        <v>20188.5</v>
      </c>
      <c r="K326" s="79">
        <f t="shared" si="24"/>
        <v>40377</v>
      </c>
    </row>
    <row r="327" spans="1:11" ht="78.75">
      <c r="A327" s="225" t="s">
        <v>1515</v>
      </c>
      <c r="B327" s="234" t="s">
        <v>1516</v>
      </c>
      <c r="C327" s="193">
        <v>45383</v>
      </c>
      <c r="D327" s="194"/>
      <c r="E327" s="195" t="s">
        <v>136</v>
      </c>
      <c r="F327" s="104">
        <v>2</v>
      </c>
      <c r="G327" s="196" t="s">
        <v>1381</v>
      </c>
      <c r="H327" s="79">
        <v>9943.5</v>
      </c>
      <c r="I327" s="79">
        <f t="shared" si="23"/>
        <v>331.45</v>
      </c>
      <c r="J327" s="79">
        <f t="shared" si="22"/>
        <v>9943.5</v>
      </c>
      <c r="K327" s="79">
        <f t="shared" si="24"/>
        <v>19887</v>
      </c>
    </row>
    <row r="328" spans="1:11" ht="78.75">
      <c r="A328" s="233" t="s">
        <v>1513</v>
      </c>
      <c r="B328" s="229" t="s">
        <v>1514</v>
      </c>
      <c r="C328" s="193">
        <v>45383</v>
      </c>
      <c r="D328" s="194"/>
      <c r="E328" s="195" t="s">
        <v>156</v>
      </c>
      <c r="F328" s="104">
        <v>1</v>
      </c>
      <c r="G328" s="196" t="s">
        <v>1381</v>
      </c>
      <c r="H328" s="79">
        <v>19469.25</v>
      </c>
      <c r="I328" s="79">
        <f t="shared" si="23"/>
        <v>648.97500000000002</v>
      </c>
      <c r="J328" s="79">
        <f t="shared" si="22"/>
        <v>19469.25</v>
      </c>
      <c r="K328" s="79">
        <f t="shared" si="24"/>
        <v>19469.25</v>
      </c>
    </row>
    <row r="329" spans="1:11" ht="78.75">
      <c r="A329" s="233" t="s">
        <v>1513</v>
      </c>
      <c r="B329" s="229" t="s">
        <v>1514</v>
      </c>
      <c r="C329" s="193">
        <v>45383</v>
      </c>
      <c r="D329" s="194"/>
      <c r="E329" s="195" t="s">
        <v>156</v>
      </c>
      <c r="F329" s="104">
        <v>1</v>
      </c>
      <c r="G329" s="196" t="s">
        <v>1381</v>
      </c>
      <c r="H329" s="79">
        <v>19469.25</v>
      </c>
      <c r="I329" s="79">
        <f t="shared" si="23"/>
        <v>648.97500000000002</v>
      </c>
      <c r="J329" s="79">
        <f t="shared" si="22"/>
        <v>19469.25</v>
      </c>
      <c r="K329" s="79">
        <f t="shared" si="24"/>
        <v>19469.25</v>
      </c>
    </row>
    <row r="330" spans="1:11" ht="78.75">
      <c r="A330" s="233" t="s">
        <v>1513</v>
      </c>
      <c r="B330" s="229" t="s">
        <v>1514</v>
      </c>
      <c r="C330" s="193">
        <v>45383</v>
      </c>
      <c r="D330" s="194"/>
      <c r="E330" s="195" t="s">
        <v>157</v>
      </c>
      <c r="F330" s="104">
        <v>1</v>
      </c>
      <c r="G330" s="196" t="s">
        <v>1381</v>
      </c>
      <c r="H330" s="79">
        <v>20188.5</v>
      </c>
      <c r="I330" s="79">
        <f t="shared" si="23"/>
        <v>672.95</v>
      </c>
      <c r="J330" s="79">
        <f t="shared" si="22"/>
        <v>20188.5</v>
      </c>
      <c r="K330" s="79">
        <f t="shared" si="24"/>
        <v>20188.5</v>
      </c>
    </row>
    <row r="331" spans="1:11">
      <c r="K331" s="81">
        <f>SUBTOTAL(9,K2:K330)</f>
        <v>7016330.0116666779</v>
      </c>
    </row>
  </sheetData>
  <autoFilter ref="C1:K33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7" workbookViewId="0">
      <selection activeCell="O31" sqref="O31:O55"/>
    </sheetView>
  </sheetViews>
  <sheetFormatPr baseColWidth="10" defaultRowHeight="15"/>
  <cols>
    <col min="1" max="1" width="44.85546875" customWidth="1"/>
    <col min="2" max="2" width="5" customWidth="1"/>
    <col min="3" max="3" width="16.5703125" customWidth="1"/>
    <col min="4" max="4" width="15.28515625" customWidth="1"/>
    <col min="5" max="5" width="14.28515625" customWidth="1"/>
    <col min="6" max="6" width="16.42578125" customWidth="1"/>
    <col min="7" max="7" width="14.28515625" customWidth="1"/>
    <col min="8" max="8" width="12.7109375" customWidth="1"/>
    <col min="9" max="9" width="11.7109375" customWidth="1"/>
    <col min="10" max="10" width="14.28515625" bestFit="1" customWidth="1"/>
    <col min="11" max="11" width="14.28515625" customWidth="1"/>
    <col min="12" max="12" width="12.7109375" customWidth="1"/>
    <col min="13" max="13" width="11.7109375" customWidth="1"/>
    <col min="14" max="14" width="14.28515625" bestFit="1" customWidth="1"/>
    <col min="15" max="15" width="14" bestFit="1" customWidth="1"/>
  </cols>
  <sheetData>
    <row r="1" spans="1:15" s="224" customFormat="1" ht="135">
      <c r="A1" s="222" t="s">
        <v>1527</v>
      </c>
      <c r="B1" s="223" t="s">
        <v>1524</v>
      </c>
      <c r="C1" s="223" t="s">
        <v>1519</v>
      </c>
      <c r="D1" s="223" t="s">
        <v>1521</v>
      </c>
      <c r="E1" s="223" t="s">
        <v>11</v>
      </c>
      <c r="F1" s="222" t="s">
        <v>1520</v>
      </c>
      <c r="G1" s="223" t="s">
        <v>1522</v>
      </c>
      <c r="H1" s="223" t="s">
        <v>1521</v>
      </c>
      <c r="I1" s="223" t="s">
        <v>11</v>
      </c>
      <c r="J1" s="222" t="s">
        <v>1523</v>
      </c>
      <c r="K1" s="223" t="s">
        <v>1525</v>
      </c>
      <c r="L1" s="223" t="s">
        <v>1521</v>
      </c>
      <c r="M1" s="223" t="s">
        <v>11</v>
      </c>
      <c r="N1" s="222" t="s">
        <v>1526</v>
      </c>
    </row>
    <row r="2" spans="1:15">
      <c r="A2" s="71" t="s">
        <v>192</v>
      </c>
      <c r="B2" s="71">
        <v>1440</v>
      </c>
      <c r="C2" s="79">
        <v>118361664.00000001</v>
      </c>
      <c r="D2" s="79">
        <f>+C2*10%</f>
        <v>11836166.400000002</v>
      </c>
      <c r="E2" s="79">
        <f>+D2*19%</f>
        <v>2248871.6160000004</v>
      </c>
      <c r="F2" s="79">
        <f>+C2+D2+E2</f>
        <v>132446702.01600002</v>
      </c>
      <c r="G2" s="79">
        <v>2214090.3283333331</v>
      </c>
      <c r="H2" s="79">
        <f>+G2*10%</f>
        <v>221409.03283333333</v>
      </c>
      <c r="I2" s="79">
        <f>+H2*19%</f>
        <v>42067.716238333334</v>
      </c>
      <c r="J2" s="79">
        <f>+G2+H2+I2</f>
        <v>2477567.0774049996</v>
      </c>
      <c r="K2" s="79">
        <v>22234443.299999997</v>
      </c>
      <c r="L2" s="79">
        <f>+K2*10%</f>
        <v>2223444.3299999996</v>
      </c>
      <c r="M2" s="79">
        <f>+L2*19%</f>
        <v>422454.42269999994</v>
      </c>
      <c r="N2" s="79">
        <f>+K2+L2+M2</f>
        <v>24880342.052699994</v>
      </c>
      <c r="O2" s="121">
        <f>+F2+J2+N2</f>
        <v>159804611.14610499</v>
      </c>
    </row>
    <row r="3" spans="1:15">
      <c r="A3" s="71" t="s">
        <v>195</v>
      </c>
      <c r="B3" s="71">
        <v>480</v>
      </c>
      <c r="C3" s="79">
        <v>39453888</v>
      </c>
      <c r="D3" s="79">
        <f t="shared" ref="D3:D26" si="0">+C3*10%</f>
        <v>3945388.8000000003</v>
      </c>
      <c r="E3" s="79">
        <f t="shared" ref="E3:E26" si="1">+D3*19%</f>
        <v>749623.87200000009</v>
      </c>
      <c r="F3" s="79">
        <f t="shared" ref="F3:F26" si="2">+C3+D3+E3</f>
        <v>44148900.671999998</v>
      </c>
      <c r="G3" s="79">
        <v>503785.3</v>
      </c>
      <c r="H3" s="79">
        <f t="shared" ref="H3:H26" si="3">+G3*10%</f>
        <v>50378.53</v>
      </c>
      <c r="I3" s="79">
        <f t="shared" ref="I3:I26" si="4">+H3*19%</f>
        <v>9571.9207000000006</v>
      </c>
      <c r="J3" s="79">
        <f t="shared" ref="J3:J26" si="5">+G3+H3+I3</f>
        <v>563735.75069999998</v>
      </c>
      <c r="K3" s="79">
        <v>1997231.7499999998</v>
      </c>
      <c r="L3" s="79">
        <f t="shared" ref="L3:L26" si="6">+K3*10%</f>
        <v>199723.17499999999</v>
      </c>
      <c r="M3" s="79">
        <f t="shared" ref="M3:M26" si="7">+L3*19%</f>
        <v>37947.403249999996</v>
      </c>
      <c r="N3" s="79">
        <f t="shared" ref="N3:N26" si="8">+K3+L3+M3</f>
        <v>2234902.3282499998</v>
      </c>
      <c r="O3" s="121">
        <f t="shared" ref="O3:O26" si="9">+F3+J3+N3</f>
        <v>46947538.750949994</v>
      </c>
    </row>
    <row r="4" spans="1:15">
      <c r="A4" s="71" t="s">
        <v>197</v>
      </c>
      <c r="B4" s="71">
        <v>150</v>
      </c>
      <c r="C4" s="79">
        <v>12329340</v>
      </c>
      <c r="D4" s="79">
        <f t="shared" si="0"/>
        <v>1232934</v>
      </c>
      <c r="E4" s="79">
        <f t="shared" si="1"/>
        <v>234257.46</v>
      </c>
      <c r="F4" s="79">
        <f t="shared" si="2"/>
        <v>13796531.460000001</v>
      </c>
      <c r="G4" s="79">
        <v>374096.65</v>
      </c>
      <c r="H4" s="79">
        <f t="shared" si="3"/>
        <v>37409.665000000001</v>
      </c>
      <c r="I4" s="79">
        <f t="shared" si="4"/>
        <v>7107.8363500000005</v>
      </c>
      <c r="J4" s="79">
        <f t="shared" si="5"/>
        <v>418614.15135</v>
      </c>
      <c r="K4" s="79">
        <v>1969727.45</v>
      </c>
      <c r="L4" s="79">
        <f t="shared" si="6"/>
        <v>196972.745</v>
      </c>
      <c r="M4" s="79">
        <f t="shared" si="7"/>
        <v>37424.821550000001</v>
      </c>
      <c r="N4" s="79">
        <f t="shared" si="8"/>
        <v>2204125.0165499998</v>
      </c>
      <c r="O4" s="121">
        <f t="shared" si="9"/>
        <v>16419270.627900001</v>
      </c>
    </row>
    <row r="5" spans="1:15">
      <c r="A5" s="71" t="s">
        <v>199</v>
      </c>
      <c r="B5" s="71">
        <v>60</v>
      </c>
      <c r="C5" s="79">
        <v>4931736</v>
      </c>
      <c r="D5" s="79">
        <f t="shared" si="0"/>
        <v>493173.60000000003</v>
      </c>
      <c r="E5" s="79">
        <f t="shared" si="1"/>
        <v>93702.984000000011</v>
      </c>
      <c r="F5" s="79">
        <f t="shared" si="2"/>
        <v>5518612.5839999998</v>
      </c>
      <c r="G5" s="79">
        <v>160826.35000000003</v>
      </c>
      <c r="H5" s="79">
        <f t="shared" si="3"/>
        <v>16082.635000000004</v>
      </c>
      <c r="I5" s="79">
        <f t="shared" si="4"/>
        <v>3055.7006500000007</v>
      </c>
      <c r="J5" s="79">
        <f t="shared" si="5"/>
        <v>179964.68565000006</v>
      </c>
      <c r="K5" s="79">
        <v>49126.05</v>
      </c>
      <c r="L5" s="79">
        <f t="shared" si="6"/>
        <v>4912.6050000000005</v>
      </c>
      <c r="M5" s="79">
        <f t="shared" si="7"/>
        <v>933.39495000000011</v>
      </c>
      <c r="N5" s="79">
        <f t="shared" si="8"/>
        <v>54972.049950000008</v>
      </c>
      <c r="O5" s="121">
        <f t="shared" si="9"/>
        <v>5753549.3196</v>
      </c>
    </row>
    <row r="6" spans="1:15">
      <c r="A6" s="71" t="s">
        <v>201</v>
      </c>
      <c r="B6" s="71">
        <v>378</v>
      </c>
      <c r="C6" s="79">
        <v>31069936.800000001</v>
      </c>
      <c r="D6" s="79">
        <f t="shared" si="0"/>
        <v>3106993.68</v>
      </c>
      <c r="E6" s="79">
        <f t="shared" si="1"/>
        <v>590328.79920000001</v>
      </c>
      <c r="F6" s="79">
        <f t="shared" si="2"/>
        <v>34767259.279200003</v>
      </c>
      <c r="G6" s="79">
        <v>352250.85</v>
      </c>
      <c r="H6" s="79">
        <f t="shared" si="3"/>
        <v>35225.084999999999</v>
      </c>
      <c r="I6" s="79">
        <f t="shared" si="4"/>
        <v>6692.7661499999995</v>
      </c>
      <c r="J6" s="79">
        <f t="shared" si="5"/>
        <v>394168.70114999998</v>
      </c>
      <c r="K6" s="79">
        <v>2964043.5500000003</v>
      </c>
      <c r="L6" s="79">
        <f t="shared" si="6"/>
        <v>296404.35500000004</v>
      </c>
      <c r="M6" s="79">
        <f t="shared" si="7"/>
        <v>56316.827450000012</v>
      </c>
      <c r="N6" s="79">
        <f t="shared" si="8"/>
        <v>3316764.7324500005</v>
      </c>
      <c r="O6" s="121">
        <f t="shared" si="9"/>
        <v>38478192.712800004</v>
      </c>
    </row>
    <row r="7" spans="1:15">
      <c r="A7" s="71" t="s">
        <v>203</v>
      </c>
      <c r="B7" s="71">
        <v>270</v>
      </c>
      <c r="C7" s="79">
        <v>22192812</v>
      </c>
      <c r="D7" s="79">
        <f t="shared" si="0"/>
        <v>2219281.2000000002</v>
      </c>
      <c r="E7" s="79">
        <f t="shared" si="1"/>
        <v>421663.42800000001</v>
      </c>
      <c r="F7" s="79">
        <f t="shared" si="2"/>
        <v>24833756.627999999</v>
      </c>
      <c r="G7" s="79">
        <v>193801.03333333333</v>
      </c>
      <c r="H7" s="79">
        <f t="shared" si="3"/>
        <v>19380.103333333333</v>
      </c>
      <c r="I7" s="79">
        <f t="shared" si="4"/>
        <v>3682.2196333333331</v>
      </c>
      <c r="J7" s="79">
        <f t="shared" si="5"/>
        <v>216863.35629999998</v>
      </c>
      <c r="K7" s="79">
        <v>2566944.65</v>
      </c>
      <c r="L7" s="79">
        <f t="shared" si="6"/>
        <v>256694.465</v>
      </c>
      <c r="M7" s="79">
        <f t="shared" si="7"/>
        <v>48771.948349999999</v>
      </c>
      <c r="N7" s="79">
        <f t="shared" si="8"/>
        <v>2872411.06335</v>
      </c>
      <c r="O7" s="121">
        <f t="shared" si="9"/>
        <v>27923031.047649998</v>
      </c>
    </row>
    <row r="8" spans="1:15">
      <c r="A8" s="71" t="s">
        <v>205</v>
      </c>
      <c r="B8" s="71">
        <v>231</v>
      </c>
      <c r="C8" s="79">
        <v>18987183.600000001</v>
      </c>
      <c r="D8" s="79">
        <f t="shared" si="0"/>
        <v>1898718.3600000003</v>
      </c>
      <c r="E8" s="79">
        <f t="shared" si="1"/>
        <v>360756.48840000009</v>
      </c>
      <c r="F8" s="79">
        <f t="shared" si="2"/>
        <v>21246658.448400002</v>
      </c>
      <c r="G8" s="79">
        <v>193801.03333333333</v>
      </c>
      <c r="H8" s="79">
        <f t="shared" si="3"/>
        <v>19380.103333333333</v>
      </c>
      <c r="I8" s="79">
        <f t="shared" si="4"/>
        <v>3682.2196333333331</v>
      </c>
      <c r="J8" s="79">
        <f t="shared" si="5"/>
        <v>216863.35629999998</v>
      </c>
      <c r="K8" s="79">
        <v>2532351.0500000003</v>
      </c>
      <c r="L8" s="79">
        <f t="shared" si="6"/>
        <v>253235.10500000004</v>
      </c>
      <c r="M8" s="79">
        <f t="shared" si="7"/>
        <v>48114.66995000001</v>
      </c>
      <c r="N8" s="79">
        <f t="shared" si="8"/>
        <v>2833700.8249500003</v>
      </c>
      <c r="O8" s="121">
        <f t="shared" si="9"/>
        <v>24297222.629650004</v>
      </c>
    </row>
    <row r="9" spans="1:15">
      <c r="A9" s="71" t="s">
        <v>207</v>
      </c>
      <c r="B9" s="71">
        <v>135</v>
      </c>
      <c r="C9" s="79">
        <v>11096406</v>
      </c>
      <c r="D9" s="79">
        <f t="shared" si="0"/>
        <v>1109640.6000000001</v>
      </c>
      <c r="E9" s="79">
        <f t="shared" si="1"/>
        <v>210831.71400000001</v>
      </c>
      <c r="F9" s="79">
        <f t="shared" si="2"/>
        <v>12416878.313999999</v>
      </c>
      <c r="G9" s="79">
        <v>316781</v>
      </c>
      <c r="H9" s="79">
        <f t="shared" si="3"/>
        <v>31678.100000000002</v>
      </c>
      <c r="I9" s="79">
        <f t="shared" si="4"/>
        <v>6018.8390000000009</v>
      </c>
      <c r="J9" s="79">
        <f t="shared" si="5"/>
        <v>354477.93899999995</v>
      </c>
      <c r="K9" s="79">
        <v>1432576.7</v>
      </c>
      <c r="L9" s="79">
        <f t="shared" si="6"/>
        <v>143257.67000000001</v>
      </c>
      <c r="M9" s="79">
        <f t="shared" si="7"/>
        <v>27218.957300000002</v>
      </c>
      <c r="N9" s="79">
        <f t="shared" si="8"/>
        <v>1603053.3272999998</v>
      </c>
      <c r="O9" s="121">
        <f t="shared" si="9"/>
        <v>14374409.580299998</v>
      </c>
    </row>
    <row r="10" spans="1:15">
      <c r="A10" s="71" t="s">
        <v>209</v>
      </c>
      <c r="B10" s="71">
        <v>210</v>
      </c>
      <c r="C10" s="79">
        <v>17261076</v>
      </c>
      <c r="D10" s="79">
        <f t="shared" si="0"/>
        <v>1726107.6</v>
      </c>
      <c r="E10" s="79">
        <f t="shared" si="1"/>
        <v>327960.44400000002</v>
      </c>
      <c r="F10" s="79">
        <f t="shared" si="2"/>
        <v>19315144.044</v>
      </c>
      <c r="G10" s="79">
        <v>199641.93333333332</v>
      </c>
      <c r="H10" s="79">
        <f t="shared" si="3"/>
        <v>19964.193333333333</v>
      </c>
      <c r="I10" s="79">
        <f t="shared" si="4"/>
        <v>3793.1967333333332</v>
      </c>
      <c r="J10" s="79">
        <f t="shared" si="5"/>
        <v>223399.32339999999</v>
      </c>
      <c r="K10" s="79">
        <v>2695804.5500000003</v>
      </c>
      <c r="L10" s="79">
        <f t="shared" si="6"/>
        <v>269580.45500000002</v>
      </c>
      <c r="M10" s="79">
        <f t="shared" si="7"/>
        <v>51220.286450000007</v>
      </c>
      <c r="N10" s="79">
        <f t="shared" si="8"/>
        <v>3016605.2914500004</v>
      </c>
      <c r="O10" s="121">
        <f t="shared" si="9"/>
        <v>22555148.658849999</v>
      </c>
    </row>
    <row r="11" spans="1:15">
      <c r="A11" s="71" t="s">
        <v>211</v>
      </c>
      <c r="B11" s="71">
        <v>300</v>
      </c>
      <c r="C11" s="79">
        <v>24658680</v>
      </c>
      <c r="D11" s="79">
        <f t="shared" si="0"/>
        <v>2465868</v>
      </c>
      <c r="E11" s="79">
        <f t="shared" si="1"/>
        <v>468514.92</v>
      </c>
      <c r="F11" s="79">
        <f t="shared" si="2"/>
        <v>27593062.920000002</v>
      </c>
      <c r="G11" s="79">
        <v>270450.73333333334</v>
      </c>
      <c r="H11" s="79">
        <f t="shared" si="3"/>
        <v>27045.073333333334</v>
      </c>
      <c r="I11" s="79">
        <f t="shared" si="4"/>
        <v>5138.5639333333338</v>
      </c>
      <c r="J11" s="79">
        <f t="shared" si="5"/>
        <v>302634.37059999997</v>
      </c>
      <c r="K11" s="79">
        <v>2351739.9500000002</v>
      </c>
      <c r="L11" s="79">
        <f t="shared" si="6"/>
        <v>235173.99500000002</v>
      </c>
      <c r="M11" s="79">
        <f t="shared" si="7"/>
        <v>44683.059050000003</v>
      </c>
      <c r="N11" s="79">
        <f t="shared" si="8"/>
        <v>2631597.0040500001</v>
      </c>
      <c r="O11" s="121">
        <f t="shared" si="9"/>
        <v>30527294.294650003</v>
      </c>
    </row>
    <row r="12" spans="1:15">
      <c r="A12" s="71" t="s">
        <v>213</v>
      </c>
      <c r="B12" s="71">
        <v>326</v>
      </c>
      <c r="C12" s="79">
        <v>26795765.600000001</v>
      </c>
      <c r="D12" s="79">
        <f t="shared" si="0"/>
        <v>2679576.5600000005</v>
      </c>
      <c r="E12" s="79">
        <f t="shared" si="1"/>
        <v>509119.54640000011</v>
      </c>
      <c r="F12" s="79">
        <f t="shared" si="2"/>
        <v>29984461.706400003</v>
      </c>
      <c r="G12" s="79">
        <v>183857.53333333333</v>
      </c>
      <c r="H12" s="79">
        <f t="shared" si="3"/>
        <v>18385.753333333334</v>
      </c>
      <c r="I12" s="79">
        <f t="shared" si="4"/>
        <v>3493.2931333333336</v>
      </c>
      <c r="J12" s="79">
        <f t="shared" si="5"/>
        <v>205736.57979999998</v>
      </c>
      <c r="K12" s="79">
        <v>2582296.5500000003</v>
      </c>
      <c r="L12" s="79">
        <f t="shared" si="6"/>
        <v>258229.65500000003</v>
      </c>
      <c r="M12" s="79">
        <f t="shared" si="7"/>
        <v>49063.634450000005</v>
      </c>
      <c r="N12" s="79">
        <f t="shared" si="8"/>
        <v>2889589.8394499999</v>
      </c>
      <c r="O12" s="121">
        <f t="shared" si="9"/>
        <v>33079788.125650004</v>
      </c>
    </row>
    <row r="13" spans="1:15">
      <c r="A13" s="71" t="s">
        <v>215</v>
      </c>
      <c r="B13" s="71">
        <v>60</v>
      </c>
      <c r="C13" s="79">
        <v>4931736</v>
      </c>
      <c r="D13" s="79">
        <f t="shared" si="0"/>
        <v>493173.60000000003</v>
      </c>
      <c r="E13" s="79">
        <f t="shared" si="1"/>
        <v>93702.984000000011</v>
      </c>
      <c r="F13" s="79">
        <f t="shared" si="2"/>
        <v>5518612.5839999998</v>
      </c>
      <c r="G13" s="79">
        <v>195628.88333333333</v>
      </c>
      <c r="H13" s="79">
        <f t="shared" si="3"/>
        <v>19562.888333333332</v>
      </c>
      <c r="I13" s="79">
        <f t="shared" si="4"/>
        <v>3716.9487833333333</v>
      </c>
      <c r="J13" s="79">
        <f t="shared" si="5"/>
        <v>218908.72044999999</v>
      </c>
      <c r="K13" s="79">
        <v>1138172.55</v>
      </c>
      <c r="L13" s="79">
        <f t="shared" si="6"/>
        <v>113817.255</v>
      </c>
      <c r="M13" s="79">
        <f t="shared" si="7"/>
        <v>21625.278450000002</v>
      </c>
      <c r="N13" s="79">
        <f t="shared" si="8"/>
        <v>1273615.0834500003</v>
      </c>
      <c r="O13" s="121">
        <f t="shared" si="9"/>
        <v>7011136.3879000004</v>
      </c>
    </row>
    <row r="14" spans="1:15">
      <c r="A14" s="71" t="s">
        <v>217</v>
      </c>
      <c r="B14" s="71">
        <v>60</v>
      </c>
      <c r="C14" s="79">
        <v>4931736</v>
      </c>
      <c r="D14" s="79">
        <f t="shared" si="0"/>
        <v>493173.60000000003</v>
      </c>
      <c r="E14" s="79">
        <f t="shared" si="1"/>
        <v>93702.984000000011</v>
      </c>
      <c r="F14" s="79">
        <f t="shared" si="2"/>
        <v>5518612.5839999998</v>
      </c>
      <c r="G14" s="79">
        <v>118840.38333333333</v>
      </c>
      <c r="H14" s="79">
        <f t="shared" si="3"/>
        <v>11884.038333333334</v>
      </c>
      <c r="I14" s="79">
        <f t="shared" si="4"/>
        <v>2257.9672833333334</v>
      </c>
      <c r="J14" s="79">
        <f t="shared" si="5"/>
        <v>132982.38894999999</v>
      </c>
      <c r="K14" s="79">
        <v>1532649.6500000001</v>
      </c>
      <c r="L14" s="79">
        <f t="shared" si="6"/>
        <v>153264.96500000003</v>
      </c>
      <c r="M14" s="79">
        <f t="shared" si="7"/>
        <v>29120.343350000006</v>
      </c>
      <c r="N14" s="79">
        <f t="shared" si="8"/>
        <v>1715034.9583500002</v>
      </c>
      <c r="O14" s="121">
        <f t="shared" si="9"/>
        <v>7366629.9312999994</v>
      </c>
    </row>
    <row r="15" spans="1:15">
      <c r="A15" s="71" t="s">
        <v>219</v>
      </c>
      <c r="B15" s="71">
        <v>90</v>
      </c>
      <c r="C15" s="79">
        <v>7397604.0000000009</v>
      </c>
      <c r="D15" s="79">
        <f t="shared" si="0"/>
        <v>739760.40000000014</v>
      </c>
      <c r="E15" s="79">
        <f t="shared" si="1"/>
        <v>140554.47600000002</v>
      </c>
      <c r="F15" s="79">
        <f t="shared" si="2"/>
        <v>8277918.8760000011</v>
      </c>
      <c r="G15" s="79">
        <v>121891.63333333333</v>
      </c>
      <c r="H15" s="79">
        <f t="shared" si="3"/>
        <v>12189.163333333334</v>
      </c>
      <c r="I15" s="79">
        <f t="shared" si="4"/>
        <v>2315.9410333333335</v>
      </c>
      <c r="J15" s="79">
        <f t="shared" si="5"/>
        <v>136396.7377</v>
      </c>
      <c r="K15" s="79">
        <v>1308572.1500000001</v>
      </c>
      <c r="L15" s="79">
        <f t="shared" si="6"/>
        <v>130857.21500000003</v>
      </c>
      <c r="M15" s="79">
        <f t="shared" si="7"/>
        <v>24862.870850000007</v>
      </c>
      <c r="N15" s="79">
        <f t="shared" si="8"/>
        <v>1464292.2358500003</v>
      </c>
      <c r="O15" s="121">
        <f t="shared" si="9"/>
        <v>9878607.8495500013</v>
      </c>
    </row>
    <row r="16" spans="1:15">
      <c r="A16" s="71" t="s">
        <v>221</v>
      </c>
      <c r="B16" s="71">
        <v>90</v>
      </c>
      <c r="C16" s="79">
        <v>7397604.0000000009</v>
      </c>
      <c r="D16" s="79">
        <f t="shared" si="0"/>
        <v>739760.40000000014</v>
      </c>
      <c r="E16" s="79">
        <f t="shared" si="1"/>
        <v>140554.47600000002</v>
      </c>
      <c r="F16" s="79">
        <f t="shared" si="2"/>
        <v>8277918.8760000011</v>
      </c>
      <c r="G16" s="79">
        <v>98651.883333333331</v>
      </c>
      <c r="H16" s="79">
        <f t="shared" si="3"/>
        <v>9865.1883333333335</v>
      </c>
      <c r="I16" s="79">
        <f t="shared" si="4"/>
        <v>1874.3857833333334</v>
      </c>
      <c r="J16" s="79">
        <f t="shared" si="5"/>
        <v>110391.45745</v>
      </c>
      <c r="K16" s="79">
        <v>1250357.1500000001</v>
      </c>
      <c r="L16" s="79">
        <f t="shared" si="6"/>
        <v>125035.71500000003</v>
      </c>
      <c r="M16" s="79">
        <f t="shared" si="7"/>
        <v>23756.785850000004</v>
      </c>
      <c r="N16" s="79">
        <f t="shared" si="8"/>
        <v>1399149.6508500003</v>
      </c>
      <c r="O16" s="121">
        <f t="shared" si="9"/>
        <v>9787459.9843000006</v>
      </c>
    </row>
    <row r="17" spans="1:15">
      <c r="A17" s="71" t="s">
        <v>223</v>
      </c>
      <c r="B17" s="71">
        <v>153</v>
      </c>
      <c r="C17" s="79">
        <v>12575926.800000001</v>
      </c>
      <c r="D17" s="79">
        <f t="shared" si="0"/>
        <v>1257592.6800000002</v>
      </c>
      <c r="E17" s="79">
        <f t="shared" si="1"/>
        <v>238942.60920000004</v>
      </c>
      <c r="F17" s="79">
        <f t="shared" si="2"/>
        <v>14072462.089200001</v>
      </c>
      <c r="G17" s="79">
        <v>130543.53333333333</v>
      </c>
      <c r="H17" s="79">
        <f t="shared" si="3"/>
        <v>13054.353333333333</v>
      </c>
      <c r="I17" s="79">
        <f t="shared" si="4"/>
        <v>2480.3271333333332</v>
      </c>
      <c r="J17" s="79">
        <f t="shared" si="5"/>
        <v>146078.2138</v>
      </c>
      <c r="K17" s="79">
        <v>2328231.9500000002</v>
      </c>
      <c r="L17" s="79">
        <f t="shared" si="6"/>
        <v>232823.19500000004</v>
      </c>
      <c r="M17" s="79">
        <f t="shared" si="7"/>
        <v>44236.407050000009</v>
      </c>
      <c r="N17" s="79">
        <f t="shared" si="8"/>
        <v>2605291.5520500001</v>
      </c>
      <c r="O17" s="121">
        <f t="shared" si="9"/>
        <v>16823831.855050001</v>
      </c>
    </row>
    <row r="18" spans="1:15">
      <c r="A18" s="71" t="s">
        <v>225</v>
      </c>
      <c r="B18" s="71">
        <v>30</v>
      </c>
      <c r="C18" s="79">
        <v>2465868</v>
      </c>
      <c r="D18" s="79">
        <f t="shared" si="0"/>
        <v>246586.80000000002</v>
      </c>
      <c r="E18" s="79">
        <f t="shared" si="1"/>
        <v>46851.492000000006</v>
      </c>
      <c r="F18" s="79">
        <f t="shared" si="2"/>
        <v>2759306.2919999999</v>
      </c>
      <c r="G18" s="79">
        <v>122501.43333333333</v>
      </c>
      <c r="H18" s="79">
        <f t="shared" si="3"/>
        <v>12250.143333333333</v>
      </c>
      <c r="I18" s="79">
        <f t="shared" si="4"/>
        <v>2327.5272333333332</v>
      </c>
      <c r="J18" s="79">
        <f t="shared" si="5"/>
        <v>137079.10389999999</v>
      </c>
      <c r="K18" s="79">
        <v>1132751.1500000001</v>
      </c>
      <c r="L18" s="79">
        <f t="shared" si="6"/>
        <v>113275.11500000002</v>
      </c>
      <c r="M18" s="79">
        <f t="shared" si="7"/>
        <v>21522.271850000005</v>
      </c>
      <c r="N18" s="79">
        <f t="shared" si="8"/>
        <v>1267548.53685</v>
      </c>
      <c r="O18" s="121">
        <f t="shared" si="9"/>
        <v>4163933.9327499997</v>
      </c>
    </row>
    <row r="19" spans="1:15">
      <c r="A19" s="71" t="s">
        <v>227</v>
      </c>
      <c r="B19" s="71">
        <v>210</v>
      </c>
      <c r="C19" s="79">
        <v>17261076</v>
      </c>
      <c r="D19" s="79">
        <f t="shared" si="0"/>
        <v>1726107.6</v>
      </c>
      <c r="E19" s="79">
        <f t="shared" si="1"/>
        <v>327960.44400000002</v>
      </c>
      <c r="F19" s="79">
        <f t="shared" si="2"/>
        <v>19315144.044</v>
      </c>
      <c r="G19" s="79">
        <v>300535.33333333331</v>
      </c>
      <c r="H19" s="79">
        <f t="shared" si="3"/>
        <v>30053.533333333333</v>
      </c>
      <c r="I19" s="79">
        <f t="shared" si="4"/>
        <v>5710.1713333333337</v>
      </c>
      <c r="J19" s="79">
        <f t="shared" si="5"/>
        <v>336299.038</v>
      </c>
      <c r="K19" s="79">
        <v>1424836.6500000001</v>
      </c>
      <c r="L19" s="79">
        <f t="shared" si="6"/>
        <v>142483.66500000001</v>
      </c>
      <c r="M19" s="79">
        <f t="shared" si="7"/>
        <v>27071.896350000003</v>
      </c>
      <c r="N19" s="79">
        <f t="shared" si="8"/>
        <v>1594392.2113500002</v>
      </c>
      <c r="O19" s="121">
        <f t="shared" si="9"/>
        <v>21245835.29335</v>
      </c>
    </row>
    <row r="20" spans="1:15">
      <c r="A20" s="71" t="s">
        <v>229</v>
      </c>
      <c r="B20" s="71">
        <v>127</v>
      </c>
      <c r="C20" s="79">
        <v>10438841.200000001</v>
      </c>
      <c r="D20" s="79">
        <f t="shared" si="0"/>
        <v>1043884.1200000001</v>
      </c>
      <c r="E20" s="79">
        <f t="shared" si="1"/>
        <v>198337.98280000003</v>
      </c>
      <c r="F20" s="79">
        <f t="shared" si="2"/>
        <v>11681063.3028</v>
      </c>
      <c r="G20" s="79">
        <v>148543.38333333333</v>
      </c>
      <c r="H20" s="79">
        <f t="shared" si="3"/>
        <v>14854.338333333333</v>
      </c>
      <c r="I20" s="79">
        <f t="shared" si="4"/>
        <v>2822.3242833333334</v>
      </c>
      <c r="J20" s="79">
        <f t="shared" si="5"/>
        <v>166220.04595</v>
      </c>
      <c r="K20" s="79">
        <v>2494212.1</v>
      </c>
      <c r="L20" s="79">
        <f t="shared" si="6"/>
        <v>249421.21000000002</v>
      </c>
      <c r="M20" s="79">
        <f t="shared" si="7"/>
        <v>47390.029900000001</v>
      </c>
      <c r="N20" s="79">
        <f t="shared" si="8"/>
        <v>2791023.3399</v>
      </c>
      <c r="O20" s="121">
        <f t="shared" si="9"/>
        <v>14638306.688649999</v>
      </c>
    </row>
    <row r="21" spans="1:15">
      <c r="A21" s="71" t="s">
        <v>231</v>
      </c>
      <c r="B21" s="71">
        <v>120</v>
      </c>
      <c r="C21" s="79">
        <v>9863472</v>
      </c>
      <c r="D21" s="79">
        <f t="shared" si="0"/>
        <v>986347.20000000007</v>
      </c>
      <c r="E21" s="79">
        <f t="shared" si="1"/>
        <v>187405.96800000002</v>
      </c>
      <c r="F21" s="79">
        <f t="shared" si="2"/>
        <v>11037225.168</v>
      </c>
      <c r="G21" s="79">
        <v>149770.28333333333</v>
      </c>
      <c r="H21" s="79">
        <f t="shared" si="3"/>
        <v>14977.028333333334</v>
      </c>
      <c r="I21" s="79">
        <f t="shared" si="4"/>
        <v>2845.6353833333333</v>
      </c>
      <c r="J21" s="79">
        <f t="shared" si="5"/>
        <v>167592.94704999999</v>
      </c>
      <c r="K21" s="79">
        <v>2171351.75</v>
      </c>
      <c r="L21" s="79">
        <f t="shared" si="6"/>
        <v>217135.17500000002</v>
      </c>
      <c r="M21" s="79">
        <f t="shared" si="7"/>
        <v>41255.683250000002</v>
      </c>
      <c r="N21" s="79">
        <f t="shared" si="8"/>
        <v>2429742.6082499996</v>
      </c>
      <c r="O21" s="121">
        <f t="shared" si="9"/>
        <v>13634560.723299999</v>
      </c>
    </row>
    <row r="22" spans="1:15">
      <c r="A22" s="71" t="s">
        <v>233</v>
      </c>
      <c r="B22" s="71">
        <v>90</v>
      </c>
      <c r="C22" s="79">
        <v>7397604.0000000009</v>
      </c>
      <c r="D22" s="79">
        <f t="shared" si="0"/>
        <v>739760.40000000014</v>
      </c>
      <c r="E22" s="79">
        <f t="shared" si="1"/>
        <v>140554.47600000002</v>
      </c>
      <c r="F22" s="79">
        <f t="shared" si="2"/>
        <v>8277918.8760000011</v>
      </c>
      <c r="G22" s="79">
        <v>133879.73333333334</v>
      </c>
      <c r="H22" s="79">
        <f t="shared" si="3"/>
        <v>13387.973333333335</v>
      </c>
      <c r="I22" s="79">
        <f t="shared" si="4"/>
        <v>2543.7149333333336</v>
      </c>
      <c r="J22" s="79">
        <f t="shared" si="5"/>
        <v>149811.4216</v>
      </c>
      <c r="K22" s="79">
        <v>3506340.65</v>
      </c>
      <c r="L22" s="79">
        <f t="shared" si="6"/>
        <v>350634.065</v>
      </c>
      <c r="M22" s="79">
        <f t="shared" si="7"/>
        <v>66620.472349999996</v>
      </c>
      <c r="N22" s="79">
        <f t="shared" si="8"/>
        <v>3923595.1873499998</v>
      </c>
      <c r="O22" s="121">
        <f t="shared" si="9"/>
        <v>12351325.48495</v>
      </c>
    </row>
    <row r="23" spans="1:15">
      <c r="A23" s="71" t="s">
        <v>235</v>
      </c>
      <c r="B23" s="71">
        <v>90</v>
      </c>
      <c r="C23" s="79">
        <v>7397604.0000000009</v>
      </c>
      <c r="D23" s="79">
        <f t="shared" si="0"/>
        <v>739760.40000000014</v>
      </c>
      <c r="E23" s="79">
        <f t="shared" si="1"/>
        <v>140554.47600000002</v>
      </c>
      <c r="F23" s="79">
        <f t="shared" si="2"/>
        <v>8277918.8760000011</v>
      </c>
      <c r="G23" s="79">
        <v>151314.63333333333</v>
      </c>
      <c r="H23" s="79">
        <f t="shared" si="3"/>
        <v>15131.463333333333</v>
      </c>
      <c r="I23" s="79">
        <f t="shared" si="4"/>
        <v>2874.9780333333333</v>
      </c>
      <c r="J23" s="79">
        <f t="shared" si="5"/>
        <v>169321.07470000003</v>
      </c>
      <c r="K23" s="79">
        <v>1713.6</v>
      </c>
      <c r="L23" s="79">
        <f t="shared" si="6"/>
        <v>171.36</v>
      </c>
      <c r="M23" s="79">
        <f t="shared" si="7"/>
        <v>32.558400000000006</v>
      </c>
      <c r="N23" s="79">
        <f t="shared" si="8"/>
        <v>1917.5183999999999</v>
      </c>
      <c r="O23" s="121">
        <f t="shared" si="9"/>
        <v>8449157.4691000022</v>
      </c>
    </row>
    <row r="24" spans="1:15">
      <c r="A24" s="71" t="s">
        <v>237</v>
      </c>
      <c r="B24" s="71">
        <v>120</v>
      </c>
      <c r="C24" s="79">
        <v>9863472</v>
      </c>
      <c r="D24" s="79">
        <f t="shared" si="0"/>
        <v>986347.20000000007</v>
      </c>
      <c r="E24" s="79">
        <f t="shared" si="1"/>
        <v>187405.96800000002</v>
      </c>
      <c r="F24" s="79">
        <f t="shared" si="2"/>
        <v>11037225.168</v>
      </c>
      <c r="G24" s="79">
        <v>122610.88333333333</v>
      </c>
      <c r="H24" s="79">
        <f t="shared" si="3"/>
        <v>12261.088333333333</v>
      </c>
      <c r="I24" s="79">
        <f t="shared" si="4"/>
        <v>2329.6067833333332</v>
      </c>
      <c r="J24" s="79">
        <f t="shared" si="5"/>
        <v>137201.57845</v>
      </c>
      <c r="K24" s="79">
        <v>917906.25</v>
      </c>
      <c r="L24" s="79">
        <f t="shared" si="6"/>
        <v>91790.625</v>
      </c>
      <c r="M24" s="79">
        <f t="shared" si="7"/>
        <v>17440.21875</v>
      </c>
      <c r="N24" s="79">
        <f t="shared" si="8"/>
        <v>1027137.09375</v>
      </c>
      <c r="O24" s="121">
        <f t="shared" si="9"/>
        <v>12201563.8402</v>
      </c>
    </row>
    <row r="25" spans="1:15">
      <c r="A25" s="71" t="s">
        <v>239</v>
      </c>
      <c r="B25" s="71">
        <v>60</v>
      </c>
      <c r="C25" s="79">
        <v>4931736</v>
      </c>
      <c r="D25" s="79">
        <f t="shared" si="0"/>
        <v>493173.60000000003</v>
      </c>
      <c r="E25" s="79">
        <f t="shared" si="1"/>
        <v>93702.984000000011</v>
      </c>
      <c r="F25" s="79">
        <f t="shared" si="2"/>
        <v>5518612.5839999998</v>
      </c>
      <c r="G25" s="79">
        <v>101405.48333333334</v>
      </c>
      <c r="H25" s="79">
        <f t="shared" si="3"/>
        <v>10140.548333333334</v>
      </c>
      <c r="I25" s="79">
        <f t="shared" si="4"/>
        <v>1926.7041833333335</v>
      </c>
      <c r="J25" s="79">
        <f t="shared" si="5"/>
        <v>113472.73585000001</v>
      </c>
      <c r="K25" s="79">
        <v>2579424.15</v>
      </c>
      <c r="L25" s="79">
        <f t="shared" si="6"/>
        <v>257942.41500000001</v>
      </c>
      <c r="M25" s="79">
        <f t="shared" si="7"/>
        <v>49009.058850000001</v>
      </c>
      <c r="N25" s="79">
        <f t="shared" si="8"/>
        <v>2886375.6238500001</v>
      </c>
      <c r="O25" s="121">
        <f t="shared" si="9"/>
        <v>8518460.9437000006</v>
      </c>
    </row>
    <row r="26" spans="1:15">
      <c r="A26" s="71" t="s">
        <v>241</v>
      </c>
      <c r="B26" s="71">
        <v>60</v>
      </c>
      <c r="C26" s="79">
        <v>4931736</v>
      </c>
      <c r="D26" s="79">
        <f t="shared" si="0"/>
        <v>493173.60000000003</v>
      </c>
      <c r="E26" s="79">
        <f t="shared" si="1"/>
        <v>93702.984000000011</v>
      </c>
      <c r="F26" s="79">
        <f t="shared" si="2"/>
        <v>5518612.5839999998</v>
      </c>
      <c r="G26" s="79">
        <v>156829.78333333333</v>
      </c>
      <c r="H26" s="79">
        <f t="shared" si="3"/>
        <v>15682.978333333333</v>
      </c>
      <c r="I26" s="79">
        <f t="shared" si="4"/>
        <v>2979.765883333333</v>
      </c>
      <c r="J26" s="79">
        <f t="shared" si="5"/>
        <v>175492.52755</v>
      </c>
      <c r="K26" s="79">
        <v>195319</v>
      </c>
      <c r="L26" s="79">
        <f t="shared" si="6"/>
        <v>19531.900000000001</v>
      </c>
      <c r="M26" s="79">
        <f t="shared" si="7"/>
        <v>3711.0610000000001</v>
      </c>
      <c r="N26" s="79">
        <f t="shared" si="8"/>
        <v>218561.96099999998</v>
      </c>
      <c r="O26" s="121">
        <f t="shared" si="9"/>
        <v>5912667.0725499997</v>
      </c>
    </row>
    <row r="27" spans="1:15">
      <c r="A27" s="216" t="s">
        <v>1528</v>
      </c>
      <c r="B27" s="217"/>
      <c r="C27" s="218">
        <f>SUM(C2:C26)</f>
        <v>438924504</v>
      </c>
      <c r="D27" s="218">
        <f t="shared" ref="D27:F27" si="10">SUM(D2:D26)</f>
        <v>43892450.400000006</v>
      </c>
      <c r="E27" s="218">
        <f t="shared" si="10"/>
        <v>8339565.5760000013</v>
      </c>
      <c r="F27" s="218">
        <f t="shared" si="10"/>
        <v>491156519.97599989</v>
      </c>
      <c r="G27" s="218">
        <f>SUM(G2:G26)</f>
        <v>7016330.0116666695</v>
      </c>
      <c r="H27" s="218">
        <f>SUM(H2:H26)</f>
        <v>701633.00116666686</v>
      </c>
      <c r="I27" s="218">
        <f>+H27*19%</f>
        <v>133310.27022166669</v>
      </c>
      <c r="J27" s="218">
        <f>SUM(J2:J26)</f>
        <v>7851273.2830549991</v>
      </c>
      <c r="K27" s="218">
        <f>SUM(K2:K26)</f>
        <v>65358124.29999999</v>
      </c>
      <c r="L27" s="218">
        <f>SUM(L2:L26)</f>
        <v>6535812.4300000006</v>
      </c>
      <c r="M27" s="218">
        <f>SUM(M2:M26)</f>
        <v>1241804.3616999998</v>
      </c>
      <c r="N27" s="218">
        <f>SUM(N2:N26)</f>
        <v>73135741.091700003</v>
      </c>
    </row>
    <row r="28" spans="1:15">
      <c r="C28" s="121">
        <f>+F27+J27+N27</f>
        <v>572143534.35075486</v>
      </c>
    </row>
    <row r="31" spans="1:15">
      <c r="O31" s="121">
        <v>159804611.14610499</v>
      </c>
    </row>
    <row r="32" spans="1:15">
      <c r="K32" s="121"/>
      <c r="O32" s="121">
        <v>46947538.750949994</v>
      </c>
    </row>
    <row r="33" spans="15:15">
      <c r="O33" s="121">
        <v>16419270.627900001</v>
      </c>
    </row>
    <row r="34" spans="15:15">
      <c r="O34" s="121">
        <v>5753549.3196</v>
      </c>
    </row>
    <row r="35" spans="15:15">
      <c r="O35" s="121">
        <v>38478192.712800004</v>
      </c>
    </row>
    <row r="36" spans="15:15">
      <c r="O36" s="121">
        <v>27923031.047649998</v>
      </c>
    </row>
    <row r="37" spans="15:15">
      <c r="O37" s="121">
        <v>24297222.629650004</v>
      </c>
    </row>
    <row r="38" spans="15:15">
      <c r="O38" s="121">
        <v>14374409.580299998</v>
      </c>
    </row>
    <row r="39" spans="15:15">
      <c r="O39" s="121">
        <v>22555148.658849999</v>
      </c>
    </row>
    <row r="40" spans="15:15">
      <c r="O40" s="121">
        <v>30527294.294650003</v>
      </c>
    </row>
    <row r="41" spans="15:15">
      <c r="O41" s="121">
        <v>33079788.125650004</v>
      </c>
    </row>
    <row r="42" spans="15:15">
      <c r="O42" s="121">
        <v>7011136.3879000004</v>
      </c>
    </row>
    <row r="43" spans="15:15">
      <c r="O43" s="121">
        <v>7366629.9312999994</v>
      </c>
    </row>
    <row r="44" spans="15:15">
      <c r="O44" s="121">
        <v>9878607.8495500013</v>
      </c>
    </row>
    <row r="45" spans="15:15">
      <c r="O45" s="121">
        <v>9787459.9843000006</v>
      </c>
    </row>
    <row r="46" spans="15:15">
      <c r="O46" s="121">
        <v>16823831.855050001</v>
      </c>
    </row>
    <row r="47" spans="15:15">
      <c r="O47" s="121">
        <v>4163933.9327499997</v>
      </c>
    </row>
    <row r="48" spans="15:15">
      <c r="O48" s="121">
        <v>21245835.29335</v>
      </c>
    </row>
    <row r="49" spans="15:15">
      <c r="O49" s="121">
        <v>14638306.688649999</v>
      </c>
    </row>
    <row r="50" spans="15:15">
      <c r="O50" s="121">
        <v>13634560.723299999</v>
      </c>
    </row>
    <row r="51" spans="15:15">
      <c r="O51" s="121">
        <v>12351325.48495</v>
      </c>
    </row>
    <row r="52" spans="15:15">
      <c r="O52" s="121">
        <v>8449157.4691000022</v>
      </c>
    </row>
    <row r="53" spans="15:15">
      <c r="O53" s="121">
        <v>12201563.8402</v>
      </c>
    </row>
    <row r="54" spans="15:15">
      <c r="O54" s="121">
        <v>8518460.9437000006</v>
      </c>
    </row>
    <row r="55" spans="15:15">
      <c r="O55" s="121">
        <v>5912667.0725499997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7"/>
  <sheetViews>
    <sheetView topLeftCell="C1" workbookViewId="0">
      <selection activeCell="I29" sqref="I29"/>
    </sheetView>
  </sheetViews>
  <sheetFormatPr baseColWidth="10" defaultRowHeight="15"/>
  <cols>
    <col min="1" max="1" width="25.5703125" bestFit="1" customWidth="1"/>
    <col min="2" max="2" width="13.5703125" customWidth="1"/>
    <col min="3" max="3" width="12" customWidth="1"/>
    <col min="4" max="4" width="11.42578125" customWidth="1"/>
    <col min="5" max="5" width="16.7109375" customWidth="1"/>
    <col min="6" max="6" width="19.7109375" customWidth="1"/>
    <col min="7" max="30" width="13.85546875" customWidth="1"/>
    <col min="32" max="32" width="16.7109375" bestFit="1" customWidth="1"/>
  </cols>
  <sheetData>
    <row r="1" spans="1:32" ht="33.75">
      <c r="A1" s="40" t="s">
        <v>0</v>
      </c>
      <c r="B1" s="40" t="s">
        <v>4</v>
      </c>
      <c r="C1" s="40" t="s">
        <v>13</v>
      </c>
      <c r="D1" s="40" t="s">
        <v>14</v>
      </c>
      <c r="E1" s="40" t="s">
        <v>15</v>
      </c>
      <c r="F1" s="41" t="s">
        <v>192</v>
      </c>
      <c r="G1" s="41" t="s">
        <v>195</v>
      </c>
      <c r="H1" s="41" t="s">
        <v>197</v>
      </c>
      <c r="I1" s="41" t="s">
        <v>199</v>
      </c>
      <c r="J1" s="41" t="s">
        <v>201</v>
      </c>
      <c r="K1" s="41" t="s">
        <v>203</v>
      </c>
      <c r="L1" s="41" t="s">
        <v>205</v>
      </c>
      <c r="M1" s="41" t="s">
        <v>207</v>
      </c>
      <c r="N1" s="41" t="s">
        <v>209</v>
      </c>
      <c r="O1" s="41" t="s">
        <v>211</v>
      </c>
      <c r="P1" s="41" t="s">
        <v>213</v>
      </c>
      <c r="Q1" s="41" t="s">
        <v>215</v>
      </c>
      <c r="R1" s="42" t="s">
        <v>217</v>
      </c>
      <c r="S1" s="41" t="s">
        <v>219</v>
      </c>
      <c r="T1" s="41" t="s">
        <v>221</v>
      </c>
      <c r="U1" s="41" t="s">
        <v>223</v>
      </c>
      <c r="V1" s="41" t="s">
        <v>225</v>
      </c>
      <c r="W1" s="41" t="s">
        <v>227</v>
      </c>
      <c r="X1" s="41" t="s">
        <v>229</v>
      </c>
      <c r="Y1" s="41" t="s">
        <v>231</v>
      </c>
      <c r="Z1" s="41" t="s">
        <v>233</v>
      </c>
      <c r="AA1" s="41" t="s">
        <v>235</v>
      </c>
      <c r="AB1" s="41" t="s">
        <v>237</v>
      </c>
      <c r="AC1" s="41" t="s">
        <v>239</v>
      </c>
      <c r="AD1" s="41" t="s">
        <v>241</v>
      </c>
      <c r="AE1" s="276" t="s">
        <v>504</v>
      </c>
      <c r="AF1" s="278" t="s">
        <v>505</v>
      </c>
    </row>
    <row r="2" spans="1:32" ht="44.25" customHeight="1">
      <c r="A2" s="40"/>
      <c r="B2" s="40"/>
      <c r="C2" s="40"/>
      <c r="D2" s="40"/>
      <c r="E2" s="40"/>
      <c r="F2" s="41" t="s">
        <v>56</v>
      </c>
      <c r="G2" s="41" t="s">
        <v>57</v>
      </c>
      <c r="H2" s="41" t="s">
        <v>58</v>
      </c>
      <c r="I2" s="41" t="s">
        <v>59</v>
      </c>
      <c r="J2" s="41" t="s">
        <v>60</v>
      </c>
      <c r="K2" s="41" t="s">
        <v>61</v>
      </c>
      <c r="L2" s="41" t="s">
        <v>62</v>
      </c>
      <c r="M2" s="41" t="s">
        <v>63</v>
      </c>
      <c r="N2" s="41" t="s">
        <v>64</v>
      </c>
      <c r="O2" s="41" t="s">
        <v>65</v>
      </c>
      <c r="P2" s="41" t="s">
        <v>66</v>
      </c>
      <c r="Q2" s="41" t="s">
        <v>67</v>
      </c>
      <c r="R2" s="41"/>
      <c r="S2" s="41" t="s">
        <v>68</v>
      </c>
      <c r="T2" s="41" t="s">
        <v>69</v>
      </c>
      <c r="U2" s="41" t="s">
        <v>70</v>
      </c>
      <c r="V2" s="41" t="s">
        <v>71</v>
      </c>
      <c r="W2" s="41" t="s">
        <v>72</v>
      </c>
      <c r="X2" s="41" t="s">
        <v>73</v>
      </c>
      <c r="Y2" s="41" t="s">
        <v>74</v>
      </c>
      <c r="Z2" s="41" t="s">
        <v>75</v>
      </c>
      <c r="AA2" s="41" t="s">
        <v>76</v>
      </c>
      <c r="AB2" s="41" t="s">
        <v>77</v>
      </c>
      <c r="AC2" s="41" t="s">
        <v>78</v>
      </c>
      <c r="AD2" s="41" t="s">
        <v>79</v>
      </c>
      <c r="AE2" s="277"/>
      <c r="AF2" s="279"/>
    </row>
    <row r="3" spans="1:32">
      <c r="A3" s="67" t="s">
        <v>17</v>
      </c>
      <c r="B3" s="90">
        <v>2465868</v>
      </c>
      <c r="C3" s="91">
        <f>B3/30</f>
        <v>82195.600000000006</v>
      </c>
      <c r="D3" s="1">
        <v>130</v>
      </c>
      <c r="E3" s="79">
        <f>B3*D3</f>
        <v>320562840</v>
      </c>
      <c r="F3" s="94">
        <f>32*30</f>
        <v>960</v>
      </c>
      <c r="G3" s="94">
        <f>12*30</f>
        <v>360</v>
      </c>
      <c r="H3" s="120">
        <f>2*30</f>
        <v>60</v>
      </c>
      <c r="I3" s="120">
        <f>2*30</f>
        <v>60</v>
      </c>
      <c r="J3" s="120">
        <f>9*30</f>
        <v>270</v>
      </c>
      <c r="K3" s="120">
        <f>8*30</f>
        <v>240</v>
      </c>
      <c r="L3" s="120">
        <f>6*30</f>
        <v>180</v>
      </c>
      <c r="M3" s="120">
        <f>4*30</f>
        <v>120</v>
      </c>
      <c r="N3" s="120">
        <f>5*30</f>
        <v>150</v>
      </c>
      <c r="O3" s="120">
        <f>8*30</f>
        <v>240</v>
      </c>
      <c r="P3" s="120">
        <f>+(6*30)+(2*28)</f>
        <v>236</v>
      </c>
      <c r="Q3" s="120">
        <f>2*30</f>
        <v>60</v>
      </c>
      <c r="R3" s="120">
        <f>2*30</f>
        <v>60</v>
      </c>
      <c r="S3" s="120">
        <f>2*30</f>
        <v>60</v>
      </c>
      <c r="T3" s="94">
        <f>2*30</f>
        <v>60</v>
      </c>
      <c r="U3" s="94">
        <f>4*30</f>
        <v>120</v>
      </c>
      <c r="V3" s="120">
        <f>1*30</f>
        <v>30</v>
      </c>
      <c r="W3" s="120">
        <f>4*30</f>
        <v>120</v>
      </c>
      <c r="X3" s="94">
        <f>30+30+7</f>
        <v>67</v>
      </c>
      <c r="Y3" s="120">
        <f>3*30</f>
        <v>90</v>
      </c>
      <c r="Z3" s="120">
        <f>2*30</f>
        <v>60</v>
      </c>
      <c r="AA3" s="120">
        <f>+(1*30)+(2*30)</f>
        <v>90</v>
      </c>
      <c r="AB3" s="120">
        <f>3*30</f>
        <v>90</v>
      </c>
      <c r="AC3" s="120">
        <f>2*30</f>
        <v>60</v>
      </c>
      <c r="AD3" s="120">
        <f>2*30</f>
        <v>60</v>
      </c>
      <c r="AE3" s="71">
        <f>SUM(F3:AD3)</f>
        <v>3903</v>
      </c>
      <c r="AF3" s="79">
        <f>+C3*AE3</f>
        <v>320809426.80000001</v>
      </c>
    </row>
    <row r="4" spans="1:32" ht="22.5">
      <c r="A4" s="68" t="s">
        <v>18</v>
      </c>
      <c r="B4" s="90">
        <v>2465868</v>
      </c>
      <c r="C4" s="91">
        <f>B4/30</f>
        <v>82195.600000000006</v>
      </c>
      <c r="D4" s="2">
        <v>40</v>
      </c>
      <c r="E4" s="79">
        <f>B4*D4</f>
        <v>98634720</v>
      </c>
      <c r="F4" s="94">
        <f>12*30</f>
        <v>360</v>
      </c>
      <c r="G4" s="120">
        <f>3*30</f>
        <v>90</v>
      </c>
      <c r="H4" s="120">
        <f>2*30</f>
        <v>60</v>
      </c>
      <c r="I4" s="120"/>
      <c r="J4" s="120">
        <f>30+18</f>
        <v>48</v>
      </c>
      <c r="K4" s="94">
        <v>30</v>
      </c>
      <c r="L4" s="94">
        <v>30</v>
      </c>
      <c r="M4" s="120">
        <v>15</v>
      </c>
      <c r="N4" s="120">
        <f>1*30</f>
        <v>30</v>
      </c>
      <c r="O4" s="120">
        <f>2*30</f>
        <v>60</v>
      </c>
      <c r="P4" s="120">
        <f>2*30</f>
        <v>60</v>
      </c>
      <c r="Q4" s="120"/>
      <c r="R4" s="120"/>
      <c r="S4" s="120">
        <f>1*30</f>
        <v>30</v>
      </c>
      <c r="T4" s="120">
        <f>1*30</f>
        <v>30</v>
      </c>
      <c r="U4" s="94">
        <f>30+3</f>
        <v>33</v>
      </c>
      <c r="V4" s="120"/>
      <c r="W4" s="120">
        <f>2*30</f>
        <v>60</v>
      </c>
      <c r="X4" s="120">
        <f>1*30</f>
        <v>30</v>
      </c>
      <c r="Y4" s="120">
        <f>1*30</f>
        <v>30</v>
      </c>
      <c r="Z4" s="120">
        <f>1*30</f>
        <v>30</v>
      </c>
      <c r="AA4" s="120"/>
      <c r="AB4" s="120">
        <f>1*30</f>
        <v>30</v>
      </c>
      <c r="AC4" s="120"/>
      <c r="AD4" s="120"/>
      <c r="AE4" s="71">
        <f t="shared" ref="AE4:AE7" si="0">SUM(F4:AD4)</f>
        <v>1056</v>
      </c>
      <c r="AF4" s="79">
        <f t="shared" ref="AF4:AF7" si="1">+C4*AE4</f>
        <v>86798553.600000009</v>
      </c>
    </row>
    <row r="5" spans="1:32">
      <c r="A5" s="66" t="s">
        <v>19</v>
      </c>
      <c r="B5" s="90">
        <v>2465868</v>
      </c>
      <c r="C5" s="92">
        <f>B5/30</f>
        <v>82195.600000000006</v>
      </c>
      <c r="D5" s="1">
        <v>5</v>
      </c>
      <c r="E5" s="79">
        <f>B5*D5</f>
        <v>12329340</v>
      </c>
      <c r="F5" s="94">
        <f>30+20</f>
        <v>50</v>
      </c>
      <c r="G5" s="77"/>
      <c r="H5" s="120"/>
      <c r="I5" s="120"/>
      <c r="J5" s="120">
        <v>30</v>
      </c>
      <c r="K5" s="77"/>
      <c r="L5" s="77"/>
      <c r="M5" s="77"/>
      <c r="N5" s="120">
        <f>1*30</f>
        <v>30</v>
      </c>
      <c r="O5" s="77"/>
      <c r="P5" s="120"/>
      <c r="Q5" s="120"/>
      <c r="R5" s="120"/>
      <c r="S5" s="120"/>
      <c r="T5" s="77"/>
      <c r="U5" s="77"/>
      <c r="V5" s="120"/>
      <c r="W5" s="120"/>
      <c r="X5" s="77"/>
      <c r="Y5" s="120"/>
      <c r="Z5" s="120"/>
      <c r="AA5" s="120"/>
      <c r="AB5" s="120"/>
      <c r="AC5" s="120"/>
      <c r="AD5" s="120"/>
      <c r="AE5" s="77">
        <f t="shared" si="0"/>
        <v>110</v>
      </c>
      <c r="AF5" s="142">
        <f t="shared" si="1"/>
        <v>9041516</v>
      </c>
    </row>
    <row r="6" spans="1:32">
      <c r="A6" s="66" t="s">
        <v>20</v>
      </c>
      <c r="B6" s="90">
        <v>2465868</v>
      </c>
      <c r="C6" s="92">
        <f>B6/30</f>
        <v>82195.600000000006</v>
      </c>
      <c r="D6" s="3">
        <v>5</v>
      </c>
      <c r="E6" s="93">
        <f>B6*D6</f>
        <v>12329340</v>
      </c>
      <c r="F6" s="120">
        <f>1*30</f>
        <v>30</v>
      </c>
      <c r="G6" s="120">
        <f>1*30</f>
        <v>30</v>
      </c>
      <c r="H6" s="120">
        <f>1*30</f>
        <v>30</v>
      </c>
      <c r="I6" s="120"/>
      <c r="J6" s="120"/>
      <c r="K6" s="77"/>
      <c r="L6" s="77"/>
      <c r="M6" s="77"/>
      <c r="N6" s="120"/>
      <c r="O6" s="77"/>
      <c r="P6" s="120"/>
      <c r="Q6" s="120"/>
      <c r="R6" s="120"/>
      <c r="S6" s="120"/>
      <c r="T6" s="77"/>
      <c r="U6" s="77"/>
      <c r="V6" s="120"/>
      <c r="W6" s="120">
        <v>30</v>
      </c>
      <c r="X6" s="94">
        <v>30</v>
      </c>
      <c r="Y6" s="120"/>
      <c r="Z6" s="120"/>
      <c r="AA6" s="120"/>
      <c r="AB6" s="120"/>
      <c r="AC6" s="120"/>
      <c r="AD6" s="120"/>
      <c r="AE6" s="77">
        <f>SUM(F6:AD6)</f>
        <v>150</v>
      </c>
      <c r="AF6" s="142">
        <f t="shared" si="1"/>
        <v>12329340</v>
      </c>
    </row>
    <row r="7" spans="1:32">
      <c r="A7" s="66" t="s">
        <v>21</v>
      </c>
      <c r="B7" s="90">
        <v>2465868</v>
      </c>
      <c r="C7" s="92">
        <f>B7/30</f>
        <v>82195.600000000006</v>
      </c>
      <c r="D7" s="3">
        <v>5</v>
      </c>
      <c r="E7" s="79">
        <f>B7*D7</f>
        <v>12329340</v>
      </c>
      <c r="F7" s="94">
        <f>30+10</f>
        <v>40</v>
      </c>
      <c r="G7" s="77"/>
      <c r="H7" s="120"/>
      <c r="I7" s="120"/>
      <c r="J7" s="120">
        <v>30</v>
      </c>
      <c r="K7" s="77"/>
      <c r="L7" s="120">
        <v>21</v>
      </c>
      <c r="M7" s="77"/>
      <c r="N7" s="120"/>
      <c r="O7" s="77"/>
      <c r="P7" s="120">
        <v>30</v>
      </c>
      <c r="Q7" s="120"/>
      <c r="R7" s="120"/>
      <c r="S7" s="120"/>
      <c r="T7" s="77"/>
      <c r="U7" s="77"/>
      <c r="V7" s="120"/>
      <c r="W7" s="120"/>
      <c r="X7" s="77"/>
      <c r="Y7" s="120"/>
      <c r="Z7" s="120"/>
      <c r="AA7" s="120"/>
      <c r="AB7" s="120"/>
      <c r="AC7" s="120"/>
      <c r="AD7" s="120"/>
      <c r="AE7" s="77">
        <f t="shared" si="0"/>
        <v>121</v>
      </c>
      <c r="AF7" s="142">
        <f t="shared" si="1"/>
        <v>9945667.6000000015</v>
      </c>
    </row>
    <row r="8" spans="1:32" ht="22.5">
      <c r="A8" s="66" t="s">
        <v>16</v>
      </c>
      <c r="B8" s="272"/>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4"/>
      <c r="AE8" s="71">
        <f>SUM(AE3:AE7)</f>
        <v>5340</v>
      </c>
      <c r="AF8" s="79">
        <f>+AF3+AF4+AF5+AF6+AF7</f>
        <v>438924504.00000006</v>
      </c>
    </row>
    <row r="9" spans="1:32">
      <c r="A9" s="66" t="s">
        <v>1399</v>
      </c>
      <c r="B9" s="272"/>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4"/>
      <c r="AF9" s="204">
        <f>+'ENTREGA EN MAquinaria'!K331</f>
        <v>7016330.0116666779</v>
      </c>
    </row>
    <row r="10" spans="1:32">
      <c r="A10" s="66" t="s">
        <v>1400</v>
      </c>
      <c r="B10" s="272"/>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4"/>
      <c r="AF10" s="158">
        <f>+'INSUMOS A CORREGIR'!AX97</f>
        <v>65358124.29999999</v>
      </c>
    </row>
    <row r="11" spans="1:32">
      <c r="A11" s="66" t="s">
        <v>9</v>
      </c>
      <c r="B11" s="272"/>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4"/>
      <c r="AF11" s="96">
        <f>+AF8+AF9+AF10</f>
        <v>511298958.31166673</v>
      </c>
    </row>
    <row r="12" spans="1:32">
      <c r="A12" s="66" t="s">
        <v>10</v>
      </c>
      <c r="B12" s="272"/>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4"/>
      <c r="AE12" s="97">
        <v>0.1</v>
      </c>
      <c r="AF12" s="79">
        <f>+AF11*AE12</f>
        <v>51129895.831166677</v>
      </c>
    </row>
    <row r="13" spans="1:32">
      <c r="A13" s="66" t="s">
        <v>11</v>
      </c>
      <c r="B13" s="272"/>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4"/>
      <c r="AE13" s="98">
        <v>0.19</v>
      </c>
      <c r="AF13" s="79">
        <f>+AF12*AE13</f>
        <v>9714680.2079216689</v>
      </c>
    </row>
    <row r="14" spans="1:32">
      <c r="A14" s="66" t="s">
        <v>506</v>
      </c>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99">
        <f>+AF11+AF12+AF13</f>
        <v>572143534.35075498</v>
      </c>
    </row>
    <row r="18" spans="5:32" ht="45">
      <c r="F18" s="223" t="s">
        <v>1519</v>
      </c>
    </row>
    <row r="19" spans="5:32" ht="33.75">
      <c r="F19" s="41" t="s">
        <v>192</v>
      </c>
      <c r="G19" s="41" t="s">
        <v>195</v>
      </c>
      <c r="H19" s="41" t="s">
        <v>197</v>
      </c>
      <c r="I19" s="41" t="s">
        <v>199</v>
      </c>
      <c r="J19" s="41" t="s">
        <v>201</v>
      </c>
      <c r="K19" s="41" t="s">
        <v>203</v>
      </c>
      <c r="L19" s="41" t="s">
        <v>205</v>
      </c>
      <c r="M19" s="41" t="s">
        <v>207</v>
      </c>
      <c r="N19" s="41" t="s">
        <v>209</v>
      </c>
      <c r="O19" s="41" t="s">
        <v>211</v>
      </c>
      <c r="P19" s="41" t="s">
        <v>213</v>
      </c>
      <c r="Q19" s="41" t="s">
        <v>215</v>
      </c>
      <c r="R19" s="42" t="s">
        <v>217</v>
      </c>
      <c r="S19" s="41" t="s">
        <v>219</v>
      </c>
      <c r="T19" s="41" t="s">
        <v>221</v>
      </c>
      <c r="U19" s="41" t="s">
        <v>223</v>
      </c>
      <c r="V19" s="41" t="s">
        <v>225</v>
      </c>
      <c r="W19" s="41" t="s">
        <v>227</v>
      </c>
      <c r="X19" s="41" t="s">
        <v>229</v>
      </c>
      <c r="Y19" s="41" t="s">
        <v>231</v>
      </c>
      <c r="Z19" s="41" t="s">
        <v>233</v>
      </c>
      <c r="AA19" s="41" t="s">
        <v>235</v>
      </c>
      <c r="AB19" s="41" t="s">
        <v>237</v>
      </c>
      <c r="AC19" s="41" t="s">
        <v>239</v>
      </c>
      <c r="AD19" s="41" t="s">
        <v>241</v>
      </c>
    </row>
    <row r="20" spans="5:32">
      <c r="F20">
        <f>+F3+F4+F5+F6+F7</f>
        <v>1440</v>
      </c>
      <c r="G20">
        <f t="shared" ref="G20:AD20" si="2">+G3+G4+G5+G6+G7</f>
        <v>480</v>
      </c>
      <c r="H20">
        <f t="shared" si="2"/>
        <v>150</v>
      </c>
      <c r="I20">
        <f t="shared" si="2"/>
        <v>60</v>
      </c>
      <c r="J20">
        <f t="shared" si="2"/>
        <v>378</v>
      </c>
      <c r="K20">
        <f t="shared" si="2"/>
        <v>270</v>
      </c>
      <c r="L20">
        <f t="shared" si="2"/>
        <v>231</v>
      </c>
      <c r="M20">
        <f t="shared" si="2"/>
        <v>135</v>
      </c>
      <c r="N20">
        <f t="shared" si="2"/>
        <v>210</v>
      </c>
      <c r="O20">
        <f t="shared" si="2"/>
        <v>300</v>
      </c>
      <c r="P20">
        <f t="shared" si="2"/>
        <v>326</v>
      </c>
      <c r="Q20">
        <f t="shared" si="2"/>
        <v>60</v>
      </c>
      <c r="R20">
        <f t="shared" si="2"/>
        <v>60</v>
      </c>
      <c r="S20">
        <f t="shared" si="2"/>
        <v>90</v>
      </c>
      <c r="T20">
        <f t="shared" si="2"/>
        <v>90</v>
      </c>
      <c r="U20">
        <f t="shared" si="2"/>
        <v>153</v>
      </c>
      <c r="V20">
        <f t="shared" si="2"/>
        <v>30</v>
      </c>
      <c r="W20">
        <f t="shared" si="2"/>
        <v>210</v>
      </c>
      <c r="X20">
        <f t="shared" si="2"/>
        <v>127</v>
      </c>
      <c r="Y20">
        <f t="shared" si="2"/>
        <v>120</v>
      </c>
      <c r="Z20">
        <f t="shared" si="2"/>
        <v>90</v>
      </c>
      <c r="AA20">
        <f t="shared" si="2"/>
        <v>90</v>
      </c>
      <c r="AB20">
        <f t="shared" si="2"/>
        <v>120</v>
      </c>
      <c r="AC20">
        <f t="shared" si="2"/>
        <v>60</v>
      </c>
      <c r="AD20">
        <f t="shared" si="2"/>
        <v>60</v>
      </c>
    </row>
    <row r="21" spans="5:32">
      <c r="F21" s="220">
        <f>+F20*$C$6</f>
        <v>118361664.00000001</v>
      </c>
      <c r="G21" s="220">
        <f t="shared" ref="G21:AD21" si="3">+G20*$C$6</f>
        <v>39453888</v>
      </c>
      <c r="H21" s="220">
        <f t="shared" si="3"/>
        <v>12329340</v>
      </c>
      <c r="I21" s="220">
        <f t="shared" si="3"/>
        <v>4931736</v>
      </c>
      <c r="J21" s="220">
        <f t="shared" si="3"/>
        <v>31069936.800000001</v>
      </c>
      <c r="K21" s="220">
        <f t="shared" si="3"/>
        <v>22192812</v>
      </c>
      <c r="L21" s="220">
        <f t="shared" si="3"/>
        <v>18987183.600000001</v>
      </c>
      <c r="M21" s="220">
        <f t="shared" si="3"/>
        <v>11096406</v>
      </c>
      <c r="N21" s="220">
        <f t="shared" si="3"/>
        <v>17261076</v>
      </c>
      <c r="O21" s="220">
        <f t="shared" si="3"/>
        <v>24658680</v>
      </c>
      <c r="P21" s="220">
        <f t="shared" si="3"/>
        <v>26795765.600000001</v>
      </c>
      <c r="Q21" s="220">
        <f t="shared" si="3"/>
        <v>4931736</v>
      </c>
      <c r="R21" s="220">
        <f t="shared" si="3"/>
        <v>4931736</v>
      </c>
      <c r="S21" s="220">
        <f t="shared" si="3"/>
        <v>7397604.0000000009</v>
      </c>
      <c r="T21" s="220">
        <f t="shared" si="3"/>
        <v>7397604.0000000009</v>
      </c>
      <c r="U21" s="220">
        <f t="shared" si="3"/>
        <v>12575926.800000001</v>
      </c>
      <c r="V21" s="220">
        <f t="shared" si="3"/>
        <v>2465868</v>
      </c>
      <c r="W21" s="220">
        <f t="shared" si="3"/>
        <v>17261076</v>
      </c>
      <c r="X21" s="220">
        <f t="shared" si="3"/>
        <v>10438841.200000001</v>
      </c>
      <c r="Y21" s="220">
        <f t="shared" si="3"/>
        <v>9863472</v>
      </c>
      <c r="Z21" s="220">
        <f t="shared" si="3"/>
        <v>7397604.0000000009</v>
      </c>
      <c r="AA21" s="220">
        <f t="shared" si="3"/>
        <v>7397604.0000000009</v>
      </c>
      <c r="AB21" s="220">
        <f t="shared" si="3"/>
        <v>9863472</v>
      </c>
      <c r="AC21" s="220">
        <f t="shared" si="3"/>
        <v>4931736</v>
      </c>
      <c r="AD21" s="220">
        <f t="shared" si="3"/>
        <v>4931736</v>
      </c>
      <c r="AE21" s="220"/>
      <c r="AF21" s="220"/>
    </row>
    <row r="22" spans="5:32">
      <c r="E22" s="219">
        <v>0.1</v>
      </c>
      <c r="F22" s="220">
        <f>+F21*$E$22</f>
        <v>11836166.400000002</v>
      </c>
      <c r="G22" s="220">
        <f t="shared" ref="G22:AD22" si="4">+G21*$E$22</f>
        <v>3945388.8000000003</v>
      </c>
      <c r="H22" s="220">
        <f t="shared" si="4"/>
        <v>1232934</v>
      </c>
      <c r="I22" s="220">
        <f t="shared" si="4"/>
        <v>493173.60000000003</v>
      </c>
      <c r="J22" s="220">
        <f t="shared" si="4"/>
        <v>3106993.68</v>
      </c>
      <c r="K22" s="220">
        <f t="shared" si="4"/>
        <v>2219281.2000000002</v>
      </c>
      <c r="L22" s="220">
        <f t="shared" si="4"/>
        <v>1898718.3600000003</v>
      </c>
      <c r="M22" s="220">
        <f t="shared" si="4"/>
        <v>1109640.6000000001</v>
      </c>
      <c r="N22" s="220">
        <f t="shared" si="4"/>
        <v>1726107.6</v>
      </c>
      <c r="O22" s="220">
        <f t="shared" si="4"/>
        <v>2465868</v>
      </c>
      <c r="P22" s="220">
        <f t="shared" si="4"/>
        <v>2679576.5600000005</v>
      </c>
      <c r="Q22" s="220">
        <f t="shared" si="4"/>
        <v>493173.60000000003</v>
      </c>
      <c r="R22" s="220">
        <f t="shared" si="4"/>
        <v>493173.60000000003</v>
      </c>
      <c r="S22" s="220">
        <f t="shared" si="4"/>
        <v>739760.40000000014</v>
      </c>
      <c r="T22" s="220">
        <f t="shared" si="4"/>
        <v>739760.40000000014</v>
      </c>
      <c r="U22" s="220">
        <f t="shared" si="4"/>
        <v>1257592.6800000002</v>
      </c>
      <c r="V22" s="220">
        <f t="shared" si="4"/>
        <v>246586.80000000002</v>
      </c>
      <c r="W22" s="220">
        <f t="shared" si="4"/>
        <v>1726107.6</v>
      </c>
      <c r="X22" s="220">
        <f t="shared" si="4"/>
        <v>1043884.1200000001</v>
      </c>
      <c r="Y22" s="220">
        <f t="shared" si="4"/>
        <v>986347.20000000007</v>
      </c>
      <c r="Z22" s="220">
        <f t="shared" si="4"/>
        <v>739760.40000000014</v>
      </c>
      <c r="AA22" s="220">
        <f t="shared" si="4"/>
        <v>739760.40000000014</v>
      </c>
      <c r="AB22" s="220">
        <f t="shared" si="4"/>
        <v>986347.20000000007</v>
      </c>
      <c r="AC22" s="220">
        <f t="shared" si="4"/>
        <v>493173.60000000003</v>
      </c>
      <c r="AD22" s="220">
        <f t="shared" si="4"/>
        <v>493173.60000000003</v>
      </c>
      <c r="AE22" s="220"/>
      <c r="AF22" s="220"/>
    </row>
    <row r="23" spans="5:32">
      <c r="E23" s="219">
        <v>0.19</v>
      </c>
      <c r="F23" s="220">
        <f>+F22*$E$23</f>
        <v>2248871.6160000004</v>
      </c>
      <c r="G23" s="220">
        <f t="shared" ref="G23:AD23" si="5">+G22*$E$23</f>
        <v>749623.87200000009</v>
      </c>
      <c r="H23" s="220">
        <f t="shared" si="5"/>
        <v>234257.46</v>
      </c>
      <c r="I23" s="220">
        <f t="shared" si="5"/>
        <v>93702.984000000011</v>
      </c>
      <c r="J23" s="220">
        <f t="shared" si="5"/>
        <v>590328.79920000001</v>
      </c>
      <c r="K23" s="220">
        <f t="shared" si="5"/>
        <v>421663.42800000001</v>
      </c>
      <c r="L23" s="220">
        <f t="shared" si="5"/>
        <v>360756.48840000009</v>
      </c>
      <c r="M23" s="220">
        <f t="shared" si="5"/>
        <v>210831.71400000001</v>
      </c>
      <c r="N23" s="220">
        <f t="shared" si="5"/>
        <v>327960.44400000002</v>
      </c>
      <c r="O23" s="220">
        <f t="shared" si="5"/>
        <v>468514.92</v>
      </c>
      <c r="P23" s="220">
        <f t="shared" si="5"/>
        <v>509119.54640000011</v>
      </c>
      <c r="Q23" s="220">
        <f t="shared" si="5"/>
        <v>93702.984000000011</v>
      </c>
      <c r="R23" s="220">
        <f t="shared" si="5"/>
        <v>93702.984000000011</v>
      </c>
      <c r="S23" s="220">
        <f t="shared" si="5"/>
        <v>140554.47600000002</v>
      </c>
      <c r="T23" s="220">
        <f t="shared" si="5"/>
        <v>140554.47600000002</v>
      </c>
      <c r="U23" s="220">
        <f t="shared" si="5"/>
        <v>238942.60920000004</v>
      </c>
      <c r="V23" s="220">
        <f t="shared" si="5"/>
        <v>46851.492000000006</v>
      </c>
      <c r="W23" s="220">
        <f t="shared" si="5"/>
        <v>327960.44400000002</v>
      </c>
      <c r="X23" s="220">
        <f t="shared" si="5"/>
        <v>198337.98280000003</v>
      </c>
      <c r="Y23" s="220">
        <f t="shared" si="5"/>
        <v>187405.96800000002</v>
      </c>
      <c r="Z23" s="220">
        <f t="shared" si="5"/>
        <v>140554.47600000002</v>
      </c>
      <c r="AA23" s="220">
        <f t="shared" si="5"/>
        <v>140554.47600000002</v>
      </c>
      <c r="AB23" s="220">
        <f t="shared" si="5"/>
        <v>187405.96800000002</v>
      </c>
      <c r="AC23" s="220">
        <f t="shared" si="5"/>
        <v>93702.984000000011</v>
      </c>
      <c r="AD23" s="220">
        <f t="shared" si="5"/>
        <v>93702.984000000011</v>
      </c>
      <c r="AE23" s="220"/>
      <c r="AF23" s="220"/>
    </row>
    <row r="24" spans="5:32">
      <c r="E24" t="s">
        <v>1529</v>
      </c>
      <c r="F24" s="220">
        <f>+F21+F22+F23</f>
        <v>132446702.01600002</v>
      </c>
      <c r="G24" s="220">
        <f t="shared" ref="G24:AD24" si="6">+G21+G22+G23</f>
        <v>44148900.671999998</v>
      </c>
      <c r="H24" s="220">
        <f t="shared" si="6"/>
        <v>13796531.460000001</v>
      </c>
      <c r="I24" s="220">
        <f t="shared" si="6"/>
        <v>5518612.5839999998</v>
      </c>
      <c r="J24" s="220">
        <f t="shared" si="6"/>
        <v>34767259.279200003</v>
      </c>
      <c r="K24" s="220">
        <f t="shared" si="6"/>
        <v>24833756.627999999</v>
      </c>
      <c r="L24" s="220">
        <f t="shared" si="6"/>
        <v>21246658.448400002</v>
      </c>
      <c r="M24" s="220">
        <f t="shared" si="6"/>
        <v>12416878.313999999</v>
      </c>
      <c r="N24" s="220">
        <f t="shared" si="6"/>
        <v>19315144.044</v>
      </c>
      <c r="O24" s="220">
        <f t="shared" si="6"/>
        <v>27593062.920000002</v>
      </c>
      <c r="P24" s="220">
        <f t="shared" si="6"/>
        <v>29984461.706400003</v>
      </c>
      <c r="Q24" s="220">
        <f t="shared" si="6"/>
        <v>5518612.5839999998</v>
      </c>
      <c r="R24" s="220">
        <f t="shared" si="6"/>
        <v>5518612.5839999998</v>
      </c>
      <c r="S24" s="220">
        <f t="shared" si="6"/>
        <v>8277918.8760000011</v>
      </c>
      <c r="T24" s="220">
        <f t="shared" si="6"/>
        <v>8277918.8760000011</v>
      </c>
      <c r="U24" s="220">
        <f t="shared" si="6"/>
        <v>14072462.089200001</v>
      </c>
      <c r="V24" s="220">
        <f t="shared" si="6"/>
        <v>2759306.2919999999</v>
      </c>
      <c r="W24" s="220">
        <f t="shared" si="6"/>
        <v>19315144.044</v>
      </c>
      <c r="X24" s="220">
        <f t="shared" si="6"/>
        <v>11681063.3028</v>
      </c>
      <c r="Y24" s="220">
        <f t="shared" si="6"/>
        <v>11037225.168</v>
      </c>
      <c r="Z24" s="220">
        <f t="shared" si="6"/>
        <v>8277918.8760000011</v>
      </c>
      <c r="AA24" s="220">
        <f t="shared" si="6"/>
        <v>8277918.8760000011</v>
      </c>
      <c r="AB24" s="220">
        <f t="shared" si="6"/>
        <v>11037225.168</v>
      </c>
      <c r="AC24" s="220">
        <f t="shared" si="6"/>
        <v>5518612.5839999998</v>
      </c>
      <c r="AD24" s="220">
        <f t="shared" si="6"/>
        <v>5518612.5839999998</v>
      </c>
      <c r="AE24" s="220"/>
      <c r="AF24" s="220"/>
    </row>
    <row r="25" spans="5:32">
      <c r="F25" s="221">
        <f>SUM(F24:AD24)</f>
        <v>491156519.97599989</v>
      </c>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row>
    <row r="26" spans="5:32">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row>
    <row r="27" spans="5:32">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row>
  </sheetData>
  <mergeCells count="9">
    <mergeCell ref="B13:AD13"/>
    <mergeCell ref="B14:AE14"/>
    <mergeCell ref="AE1:AE2"/>
    <mergeCell ref="AF1:AF2"/>
    <mergeCell ref="B8:AD8"/>
    <mergeCell ref="B9:AE9"/>
    <mergeCell ref="B11:AE11"/>
    <mergeCell ref="B12:AD12"/>
    <mergeCell ref="B10:AE1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10"/>
  <sheetViews>
    <sheetView topLeftCell="AC13" workbookViewId="0">
      <selection activeCell="AO27" sqref="AO27"/>
    </sheetView>
  </sheetViews>
  <sheetFormatPr baseColWidth="10" defaultRowHeight="15"/>
  <cols>
    <col min="2" max="2" width="21" customWidth="1"/>
    <col min="3" max="3" width="7.5703125" bestFit="1" customWidth="1"/>
    <col min="4" max="4" width="39.5703125" customWidth="1"/>
    <col min="5" max="7" width="11.5703125" hidden="1" customWidth="1"/>
    <col min="8" max="10" width="14.42578125" hidden="1" customWidth="1"/>
    <col min="11" max="11" width="14.42578125" customWidth="1"/>
    <col min="12" max="17" width="11.5703125" hidden="1" customWidth="1"/>
    <col min="18" max="19" width="11.5703125" customWidth="1"/>
    <col min="20" max="20" width="15.140625" customWidth="1"/>
    <col min="21" max="36" width="11.5703125" customWidth="1"/>
    <col min="37" max="37" width="12.85546875" customWidth="1"/>
    <col min="38" max="38" width="11.5703125" customWidth="1"/>
    <col min="39" max="39" width="12.42578125" customWidth="1"/>
    <col min="40" max="41" width="11.5703125" customWidth="1"/>
    <col min="42" max="42" width="12.85546875" customWidth="1"/>
    <col min="43" max="43" width="11.5703125" customWidth="1"/>
    <col min="44" max="44" width="5.85546875" customWidth="1"/>
    <col min="45" max="45" width="13" bestFit="1" customWidth="1"/>
    <col min="46" max="47" width="11.5703125" customWidth="1"/>
    <col min="48" max="48" width="11.42578125" customWidth="1"/>
    <col min="49" max="49" width="14.28515625" customWidth="1"/>
    <col min="51" max="51" width="12.7109375" bestFit="1" customWidth="1"/>
  </cols>
  <sheetData>
    <row r="1" spans="1:51" ht="67.5">
      <c r="A1" s="187" t="s">
        <v>1530</v>
      </c>
      <c r="B1" s="187" t="s">
        <v>1531</v>
      </c>
      <c r="C1" s="160" t="s">
        <v>51</v>
      </c>
      <c r="D1" s="187" t="s">
        <v>52</v>
      </c>
      <c r="E1" s="176" t="s">
        <v>53</v>
      </c>
      <c r="F1" s="184" t="s">
        <v>54</v>
      </c>
      <c r="G1" s="162" t="s">
        <v>570</v>
      </c>
      <c r="H1" s="161" t="s">
        <v>571</v>
      </c>
      <c r="I1" s="161"/>
      <c r="J1" s="161"/>
      <c r="K1" s="237" t="s">
        <v>1532</v>
      </c>
      <c r="L1" s="161" t="s">
        <v>572</v>
      </c>
      <c r="M1" s="161" t="s">
        <v>573</v>
      </c>
      <c r="N1" s="161" t="s">
        <v>2</v>
      </c>
      <c r="O1" s="161" t="s">
        <v>3</v>
      </c>
      <c r="P1" s="161"/>
      <c r="Q1" s="161"/>
      <c r="R1" s="237" t="s">
        <v>1533</v>
      </c>
      <c r="S1" s="197" t="s">
        <v>192</v>
      </c>
      <c r="T1" s="197" t="s">
        <v>195</v>
      </c>
      <c r="U1" s="197" t="s">
        <v>197</v>
      </c>
      <c r="V1" s="197" t="s">
        <v>199</v>
      </c>
      <c r="W1" s="197" t="s">
        <v>201</v>
      </c>
      <c r="X1" s="197" t="s">
        <v>203</v>
      </c>
      <c r="Y1" s="197" t="s">
        <v>205</v>
      </c>
      <c r="Z1" s="197" t="s">
        <v>207</v>
      </c>
      <c r="AA1" s="197" t="s">
        <v>209</v>
      </c>
      <c r="AB1" s="197" t="s">
        <v>211</v>
      </c>
      <c r="AC1" s="197" t="s">
        <v>213</v>
      </c>
      <c r="AD1" s="197" t="s">
        <v>215</v>
      </c>
      <c r="AE1" s="197" t="s">
        <v>217</v>
      </c>
      <c r="AF1" s="197" t="s">
        <v>219</v>
      </c>
      <c r="AG1" s="197" t="s">
        <v>221</v>
      </c>
      <c r="AH1" s="197" t="s">
        <v>223</v>
      </c>
      <c r="AI1" s="197" t="s">
        <v>225</v>
      </c>
      <c r="AJ1" s="197" t="s">
        <v>227</v>
      </c>
      <c r="AK1" s="197" t="s">
        <v>229</v>
      </c>
      <c r="AL1" s="197" t="s">
        <v>231</v>
      </c>
      <c r="AM1" s="197" t="s">
        <v>233</v>
      </c>
      <c r="AN1" s="197" t="s">
        <v>235</v>
      </c>
      <c r="AO1" s="197" t="s">
        <v>237</v>
      </c>
      <c r="AP1" s="197" t="s">
        <v>239</v>
      </c>
      <c r="AQ1" s="197" t="s">
        <v>241</v>
      </c>
      <c r="AR1" s="161" t="s">
        <v>1373</v>
      </c>
      <c r="AS1" s="161" t="s">
        <v>1374</v>
      </c>
      <c r="AT1" s="197" t="s">
        <v>1402</v>
      </c>
      <c r="AU1" s="197" t="s">
        <v>1403</v>
      </c>
      <c r="AV1" s="197" t="s">
        <v>1404</v>
      </c>
      <c r="AW1" s="197" t="s">
        <v>1405</v>
      </c>
      <c r="AX1" s="161" t="s">
        <v>1406</v>
      </c>
    </row>
    <row r="2" spans="1:51">
      <c r="A2" s="225" t="s">
        <v>1477</v>
      </c>
      <c r="B2" s="226" t="s">
        <v>1478</v>
      </c>
      <c r="C2" s="163">
        <v>1</v>
      </c>
      <c r="D2" s="182" t="s">
        <v>577</v>
      </c>
      <c r="E2" s="177" t="s">
        <v>578</v>
      </c>
      <c r="F2" s="185" t="s">
        <v>579</v>
      </c>
      <c r="G2" s="164">
        <v>122</v>
      </c>
      <c r="H2" s="165">
        <v>17470</v>
      </c>
      <c r="I2" s="165">
        <f>+H2*10%</f>
        <v>1747</v>
      </c>
      <c r="J2" s="165">
        <f>+I2*19%</f>
        <v>331.93</v>
      </c>
      <c r="K2" s="165">
        <f>+H2+I2+J2</f>
        <v>19548.93</v>
      </c>
      <c r="L2" s="165">
        <v>10106</v>
      </c>
      <c r="M2" s="166">
        <v>0.25</v>
      </c>
      <c r="N2" s="167">
        <v>0.56614195764167141</v>
      </c>
      <c r="O2" s="165">
        <v>7579.5</v>
      </c>
      <c r="P2" s="165">
        <f>+O2*10%</f>
        <v>757.95</v>
      </c>
      <c r="Q2" s="165">
        <f>+P2*19%</f>
        <v>144.01050000000001</v>
      </c>
      <c r="R2" s="165">
        <f>+O2+P2+Q2</f>
        <v>8481.460500000001</v>
      </c>
      <c r="S2" s="71">
        <v>45</v>
      </c>
      <c r="T2" s="77">
        <v>3</v>
      </c>
      <c r="U2" s="91">
        <v>3</v>
      </c>
      <c r="V2" s="71"/>
      <c r="W2" s="71">
        <v>3</v>
      </c>
      <c r="X2" s="71">
        <v>3</v>
      </c>
      <c r="Y2" s="71">
        <v>3</v>
      </c>
      <c r="Z2" s="71">
        <v>3</v>
      </c>
      <c r="AA2" s="71">
        <v>3</v>
      </c>
      <c r="AB2" s="71">
        <v>3</v>
      </c>
      <c r="AC2" s="71">
        <v>3</v>
      </c>
      <c r="AD2" s="71">
        <v>3</v>
      </c>
      <c r="AE2" s="71">
        <v>3</v>
      </c>
      <c r="AF2" s="71">
        <v>3</v>
      </c>
      <c r="AG2" s="71">
        <v>3</v>
      </c>
      <c r="AH2" s="71">
        <v>3</v>
      </c>
      <c r="AI2" s="71">
        <v>3</v>
      </c>
      <c r="AJ2" s="71">
        <v>4</v>
      </c>
      <c r="AK2" s="71"/>
      <c r="AL2" s="71">
        <v>3</v>
      </c>
      <c r="AM2" s="71">
        <v>12</v>
      </c>
      <c r="AN2" s="94" t="s">
        <v>1407</v>
      </c>
      <c r="AO2" s="71">
        <v>3</v>
      </c>
      <c r="AP2" s="71">
        <v>6</v>
      </c>
      <c r="AQ2" s="71"/>
      <c r="AR2" s="71">
        <v>118</v>
      </c>
      <c r="AS2" s="79">
        <v>894381</v>
      </c>
      <c r="AT2" s="91">
        <v>122</v>
      </c>
      <c r="AU2" s="91">
        <v>894381</v>
      </c>
      <c r="AV2" s="200"/>
      <c r="AW2" s="71"/>
      <c r="AX2" s="211">
        <v>894381</v>
      </c>
      <c r="AY2" s="212"/>
    </row>
    <row r="3" spans="1:51">
      <c r="A3" s="225" t="s">
        <v>1475</v>
      </c>
      <c r="B3" s="227" t="s">
        <v>1476</v>
      </c>
      <c r="C3" s="163">
        <v>5</v>
      </c>
      <c r="D3" s="182" t="s">
        <v>589</v>
      </c>
      <c r="E3" s="177" t="s">
        <v>590</v>
      </c>
      <c r="F3" s="185" t="s">
        <v>591</v>
      </c>
      <c r="G3" s="164">
        <v>109</v>
      </c>
      <c r="H3" s="165">
        <v>4380</v>
      </c>
      <c r="I3" s="165">
        <f t="shared" ref="I3:I66" si="0">+H3*10%</f>
        <v>438</v>
      </c>
      <c r="J3" s="165">
        <f t="shared" ref="J3:J66" si="1">+I3*19%</f>
        <v>83.22</v>
      </c>
      <c r="K3" s="165">
        <f t="shared" ref="K3:K66" si="2">+H3+I3+J3</f>
        <v>4901.22</v>
      </c>
      <c r="L3" s="165">
        <v>2017</v>
      </c>
      <c r="M3" s="166">
        <v>0.25</v>
      </c>
      <c r="N3" s="167">
        <v>0.6546232876712329</v>
      </c>
      <c r="O3" s="165">
        <v>1512.75</v>
      </c>
      <c r="P3" s="165">
        <f t="shared" ref="P3:P66" si="3">+O3*10%</f>
        <v>151.27500000000001</v>
      </c>
      <c r="Q3" s="165">
        <f t="shared" ref="Q3:Q66" si="4">+P3*19%</f>
        <v>28.742250000000002</v>
      </c>
      <c r="R3" s="165">
        <f t="shared" ref="R3:R66" si="5">+O3+P3+Q3</f>
        <v>1692.7672500000001</v>
      </c>
      <c r="S3" s="71">
        <v>10</v>
      </c>
      <c r="T3" s="77">
        <v>3</v>
      </c>
      <c r="U3" s="91">
        <v>3</v>
      </c>
      <c r="V3" s="71"/>
      <c r="W3" s="71">
        <v>3</v>
      </c>
      <c r="X3" s="71">
        <v>3</v>
      </c>
      <c r="Y3" s="71">
        <v>3</v>
      </c>
      <c r="Z3" s="71">
        <v>3</v>
      </c>
      <c r="AA3" s="71">
        <v>3</v>
      </c>
      <c r="AB3" s="71">
        <v>3</v>
      </c>
      <c r="AC3" s="71">
        <v>3</v>
      </c>
      <c r="AD3" s="71">
        <v>3</v>
      </c>
      <c r="AE3" s="71">
        <v>3</v>
      </c>
      <c r="AF3" s="71">
        <v>3</v>
      </c>
      <c r="AG3" s="71">
        <v>3</v>
      </c>
      <c r="AH3" s="71">
        <v>3</v>
      </c>
      <c r="AI3" s="71">
        <v>3</v>
      </c>
      <c r="AJ3" s="71"/>
      <c r="AK3" s="71"/>
      <c r="AL3" s="71">
        <v>5</v>
      </c>
      <c r="AM3" s="71">
        <v>13</v>
      </c>
      <c r="AN3" s="94"/>
      <c r="AO3" s="71">
        <v>3</v>
      </c>
      <c r="AP3" s="71">
        <v>6</v>
      </c>
      <c r="AQ3" s="71">
        <v>3</v>
      </c>
      <c r="AR3" s="71">
        <v>85</v>
      </c>
      <c r="AS3" s="79">
        <v>128583.75</v>
      </c>
      <c r="AT3" s="91">
        <v>109</v>
      </c>
      <c r="AU3" s="91">
        <v>128583.75</v>
      </c>
      <c r="AV3" s="200"/>
      <c r="AW3" s="71"/>
      <c r="AX3" s="211">
        <v>128583.75</v>
      </c>
      <c r="AY3" s="212"/>
    </row>
    <row r="4" spans="1:51">
      <c r="A4" s="225" t="s">
        <v>1479</v>
      </c>
      <c r="B4" s="227" t="s">
        <v>1480</v>
      </c>
      <c r="C4" s="163">
        <v>7</v>
      </c>
      <c r="D4" s="182" t="s">
        <v>594</v>
      </c>
      <c r="E4" s="177" t="s">
        <v>595</v>
      </c>
      <c r="F4" s="185" t="s">
        <v>596</v>
      </c>
      <c r="G4" s="164">
        <v>88</v>
      </c>
      <c r="H4" s="165">
        <v>4640</v>
      </c>
      <c r="I4" s="165">
        <f t="shared" si="0"/>
        <v>464</v>
      </c>
      <c r="J4" s="165">
        <f t="shared" si="1"/>
        <v>88.16</v>
      </c>
      <c r="K4" s="165">
        <f t="shared" si="2"/>
        <v>5192.16</v>
      </c>
      <c r="L4" s="165">
        <v>2754</v>
      </c>
      <c r="M4" s="166">
        <v>0.25</v>
      </c>
      <c r="N4" s="167">
        <v>0.55484913793103452</v>
      </c>
      <c r="O4" s="165">
        <v>2065.5</v>
      </c>
      <c r="P4" s="165">
        <f t="shared" si="3"/>
        <v>206.55</v>
      </c>
      <c r="Q4" s="165">
        <f t="shared" si="4"/>
        <v>39.244500000000002</v>
      </c>
      <c r="R4" s="165">
        <f t="shared" si="5"/>
        <v>2311.2945</v>
      </c>
      <c r="S4" s="71">
        <v>5</v>
      </c>
      <c r="T4" s="77">
        <v>3</v>
      </c>
      <c r="U4" s="91">
        <v>3</v>
      </c>
      <c r="V4" s="71"/>
      <c r="W4" s="71">
        <v>3</v>
      </c>
      <c r="X4" s="71">
        <v>3</v>
      </c>
      <c r="Y4" s="71">
        <v>3</v>
      </c>
      <c r="Z4" s="71">
        <v>3</v>
      </c>
      <c r="AA4" s="71">
        <v>3</v>
      </c>
      <c r="AB4" s="71">
        <v>3</v>
      </c>
      <c r="AC4" s="71">
        <v>3</v>
      </c>
      <c r="AD4" s="71">
        <v>3</v>
      </c>
      <c r="AE4" s="71">
        <v>3</v>
      </c>
      <c r="AF4" s="71">
        <v>3</v>
      </c>
      <c r="AG4" s="71">
        <v>3</v>
      </c>
      <c r="AH4" s="71">
        <v>3</v>
      </c>
      <c r="AI4" s="71">
        <v>3</v>
      </c>
      <c r="AJ4" s="71"/>
      <c r="AK4" s="71"/>
      <c r="AL4" s="71"/>
      <c r="AM4" s="71">
        <v>4</v>
      </c>
      <c r="AN4" s="94"/>
      <c r="AO4" s="71"/>
      <c r="AP4" s="71"/>
      <c r="AQ4" s="71"/>
      <c r="AR4" s="71">
        <v>54</v>
      </c>
      <c r="AS4" s="79">
        <v>111537</v>
      </c>
      <c r="AT4" s="91">
        <v>88</v>
      </c>
      <c r="AU4" s="91">
        <v>111537</v>
      </c>
      <c r="AV4" s="200"/>
      <c r="AW4" s="71"/>
      <c r="AX4" s="211">
        <v>111537</v>
      </c>
      <c r="AY4" s="212"/>
    </row>
    <row r="5" spans="1:51">
      <c r="A5" s="225" t="s">
        <v>1481</v>
      </c>
      <c r="B5" s="226" t="s">
        <v>1482</v>
      </c>
      <c r="C5" s="163">
        <v>11</v>
      </c>
      <c r="D5" s="182" t="s">
        <v>606</v>
      </c>
      <c r="E5" s="177" t="s">
        <v>607</v>
      </c>
      <c r="F5" s="185" t="s">
        <v>579</v>
      </c>
      <c r="G5" s="164">
        <v>147</v>
      </c>
      <c r="H5" s="165">
        <v>13172</v>
      </c>
      <c r="I5" s="165">
        <f t="shared" si="0"/>
        <v>1317.2</v>
      </c>
      <c r="J5" s="165">
        <f t="shared" si="1"/>
        <v>250.268</v>
      </c>
      <c r="K5" s="165">
        <f t="shared" si="2"/>
        <v>14739.468000000001</v>
      </c>
      <c r="L5" s="165">
        <v>1608</v>
      </c>
      <c r="M5" s="166">
        <v>0.25</v>
      </c>
      <c r="N5" s="167">
        <v>0.90844215001518369</v>
      </c>
      <c r="O5" s="165">
        <v>1206</v>
      </c>
      <c r="P5" s="165">
        <f t="shared" si="3"/>
        <v>120.60000000000001</v>
      </c>
      <c r="Q5" s="165">
        <f t="shared" si="4"/>
        <v>22.914000000000001</v>
      </c>
      <c r="R5" s="165">
        <f t="shared" si="5"/>
        <v>1349.5139999999999</v>
      </c>
      <c r="S5" s="71">
        <v>50</v>
      </c>
      <c r="T5" s="71">
        <v>3</v>
      </c>
      <c r="U5" s="91">
        <v>3</v>
      </c>
      <c r="V5" s="71"/>
      <c r="W5" s="71">
        <v>3</v>
      </c>
      <c r="X5" s="71">
        <v>3</v>
      </c>
      <c r="Y5" s="71">
        <v>3</v>
      </c>
      <c r="Z5" s="71">
        <v>3</v>
      </c>
      <c r="AA5" s="71">
        <v>3</v>
      </c>
      <c r="AB5" s="71">
        <v>3</v>
      </c>
      <c r="AC5" s="71">
        <v>3</v>
      </c>
      <c r="AD5" s="71">
        <v>3</v>
      </c>
      <c r="AE5" s="71">
        <v>3</v>
      </c>
      <c r="AF5" s="71">
        <v>3</v>
      </c>
      <c r="AG5" s="71">
        <v>3</v>
      </c>
      <c r="AH5" s="71">
        <v>3</v>
      </c>
      <c r="AI5" s="71">
        <v>3</v>
      </c>
      <c r="AJ5" s="71"/>
      <c r="AK5" s="71">
        <v>5</v>
      </c>
      <c r="AL5" s="71">
        <v>4</v>
      </c>
      <c r="AM5" s="71">
        <v>12</v>
      </c>
      <c r="AN5" s="94"/>
      <c r="AO5" s="71">
        <v>2</v>
      </c>
      <c r="AP5" s="71">
        <v>5</v>
      </c>
      <c r="AQ5" s="71"/>
      <c r="AR5" s="71">
        <v>123</v>
      </c>
      <c r="AS5" s="79">
        <v>148338</v>
      </c>
      <c r="AT5" s="91">
        <v>147</v>
      </c>
      <c r="AU5" s="91">
        <v>148338</v>
      </c>
      <c r="AV5" s="200"/>
      <c r="AW5" s="71"/>
      <c r="AX5" s="211">
        <v>148338</v>
      </c>
      <c r="AY5" s="212"/>
    </row>
    <row r="6" spans="1:51">
      <c r="A6" s="225" t="s">
        <v>1473</v>
      </c>
      <c r="B6" s="228" t="s">
        <v>1474</v>
      </c>
      <c r="C6" s="163">
        <v>15</v>
      </c>
      <c r="D6" s="182" t="s">
        <v>616</v>
      </c>
      <c r="E6" s="177" t="s">
        <v>617</v>
      </c>
      <c r="F6" s="185" t="s">
        <v>618</v>
      </c>
      <c r="G6" s="164">
        <v>149</v>
      </c>
      <c r="H6" s="165">
        <v>12925</v>
      </c>
      <c r="I6" s="165">
        <f t="shared" si="0"/>
        <v>1292.5</v>
      </c>
      <c r="J6" s="165">
        <f t="shared" si="1"/>
        <v>245.57500000000002</v>
      </c>
      <c r="K6" s="165">
        <f t="shared" si="2"/>
        <v>14463.075000000001</v>
      </c>
      <c r="L6" s="165">
        <v>5869</v>
      </c>
      <c r="M6" s="166">
        <v>0.25</v>
      </c>
      <c r="N6" s="167">
        <v>0.65943907156673109</v>
      </c>
      <c r="O6" s="165">
        <v>4401.75</v>
      </c>
      <c r="P6" s="165">
        <f t="shared" si="3"/>
        <v>440.17500000000001</v>
      </c>
      <c r="Q6" s="165">
        <f t="shared" si="4"/>
        <v>83.633250000000004</v>
      </c>
      <c r="R6" s="165">
        <f t="shared" si="5"/>
        <v>4925.55825</v>
      </c>
      <c r="S6" s="71">
        <v>18</v>
      </c>
      <c r="T6" s="71">
        <v>8</v>
      </c>
      <c r="U6" s="91">
        <v>8</v>
      </c>
      <c r="V6" s="71"/>
      <c r="W6" s="71">
        <v>8</v>
      </c>
      <c r="X6" s="71">
        <v>8</v>
      </c>
      <c r="Y6" s="71">
        <v>8</v>
      </c>
      <c r="Z6" s="71">
        <v>8</v>
      </c>
      <c r="AA6" s="71"/>
      <c r="AB6" s="71">
        <v>8</v>
      </c>
      <c r="AC6" s="71">
        <v>8</v>
      </c>
      <c r="AD6" s="71">
        <v>8</v>
      </c>
      <c r="AE6" s="71">
        <v>4</v>
      </c>
      <c r="AF6" s="71">
        <v>4</v>
      </c>
      <c r="AG6" s="71">
        <v>4</v>
      </c>
      <c r="AH6" s="71">
        <v>8</v>
      </c>
      <c r="AI6" s="71">
        <v>4</v>
      </c>
      <c r="AJ6" s="71">
        <v>2</v>
      </c>
      <c r="AK6" s="71"/>
      <c r="AL6" s="71">
        <v>4</v>
      </c>
      <c r="AM6" s="71">
        <v>10</v>
      </c>
      <c r="AN6" s="94"/>
      <c r="AO6" s="71">
        <v>3</v>
      </c>
      <c r="AP6" s="71">
        <v>7</v>
      </c>
      <c r="AQ6" s="71"/>
      <c r="AR6" s="71">
        <v>140</v>
      </c>
      <c r="AS6" s="79">
        <v>616245</v>
      </c>
      <c r="AT6" s="91">
        <v>149</v>
      </c>
      <c r="AU6" s="91">
        <v>616245</v>
      </c>
      <c r="AV6" s="200"/>
      <c r="AW6" s="71"/>
      <c r="AX6" s="211">
        <v>616245</v>
      </c>
      <c r="AY6" s="212"/>
    </row>
    <row r="7" spans="1:51">
      <c r="A7" s="225" t="s">
        <v>1469</v>
      </c>
      <c r="B7" s="225" t="s">
        <v>1470</v>
      </c>
      <c r="C7" s="163">
        <v>19</v>
      </c>
      <c r="D7" s="182" t="s">
        <v>627</v>
      </c>
      <c r="E7" s="178" t="s">
        <v>628</v>
      </c>
      <c r="F7" s="185" t="s">
        <v>579</v>
      </c>
      <c r="G7" s="164">
        <v>134</v>
      </c>
      <c r="H7" s="165">
        <v>9398</v>
      </c>
      <c r="I7" s="165">
        <f t="shared" si="0"/>
        <v>939.80000000000007</v>
      </c>
      <c r="J7" s="165">
        <f t="shared" si="1"/>
        <v>178.56200000000001</v>
      </c>
      <c r="K7" s="165">
        <f t="shared" si="2"/>
        <v>10516.361999999999</v>
      </c>
      <c r="L7" s="165">
        <v>7491</v>
      </c>
      <c r="M7" s="166">
        <v>0.25</v>
      </c>
      <c r="N7" s="167">
        <v>0.40218663545435196</v>
      </c>
      <c r="O7" s="165">
        <v>5618.25</v>
      </c>
      <c r="P7" s="165">
        <f t="shared" si="3"/>
        <v>561.82500000000005</v>
      </c>
      <c r="Q7" s="165">
        <f t="shared" si="4"/>
        <v>106.74675000000001</v>
      </c>
      <c r="R7" s="165">
        <f t="shared" si="5"/>
        <v>6286.8217500000001</v>
      </c>
      <c r="S7" s="71">
        <v>45</v>
      </c>
      <c r="T7" s="71">
        <v>3</v>
      </c>
      <c r="U7" s="91">
        <v>3</v>
      </c>
      <c r="V7" s="71"/>
      <c r="W7" s="71">
        <v>3</v>
      </c>
      <c r="X7" s="71">
        <v>3</v>
      </c>
      <c r="Y7" s="71">
        <v>3</v>
      </c>
      <c r="Z7" s="71">
        <v>3</v>
      </c>
      <c r="AA7" s="71">
        <v>3</v>
      </c>
      <c r="AB7" s="71">
        <v>3</v>
      </c>
      <c r="AC7" s="71">
        <v>3</v>
      </c>
      <c r="AD7" s="71"/>
      <c r="AE7" s="71">
        <v>3</v>
      </c>
      <c r="AF7" s="71">
        <v>3</v>
      </c>
      <c r="AG7" s="71">
        <v>3</v>
      </c>
      <c r="AH7" s="71">
        <v>3</v>
      </c>
      <c r="AI7" s="71">
        <v>3</v>
      </c>
      <c r="AJ7" s="71">
        <v>5</v>
      </c>
      <c r="AK7" s="71">
        <v>5</v>
      </c>
      <c r="AL7" s="71">
        <v>3</v>
      </c>
      <c r="AM7" s="71">
        <v>8</v>
      </c>
      <c r="AN7" s="94"/>
      <c r="AO7" s="71">
        <v>2</v>
      </c>
      <c r="AP7" s="71">
        <v>3</v>
      </c>
      <c r="AQ7" s="71"/>
      <c r="AR7" s="71">
        <v>113</v>
      </c>
      <c r="AS7" s="79">
        <v>634862.25</v>
      </c>
      <c r="AT7" s="91">
        <v>134</v>
      </c>
      <c r="AU7" s="91">
        <v>634862.25</v>
      </c>
      <c r="AV7" s="200"/>
      <c r="AW7" s="71"/>
      <c r="AX7" s="211">
        <v>634862.25</v>
      </c>
      <c r="AY7" s="212"/>
    </row>
    <row r="8" spans="1:51">
      <c r="A8" s="225" t="s">
        <v>1483</v>
      </c>
      <c r="B8" s="225" t="s">
        <v>1484</v>
      </c>
      <c r="C8" s="163">
        <v>21</v>
      </c>
      <c r="D8" s="182" t="s">
        <v>632</v>
      </c>
      <c r="E8" s="177" t="s">
        <v>633</v>
      </c>
      <c r="F8" s="185" t="s">
        <v>634</v>
      </c>
      <c r="G8" s="164">
        <v>75</v>
      </c>
      <c r="H8" s="165">
        <v>5062</v>
      </c>
      <c r="I8" s="165">
        <f t="shared" si="0"/>
        <v>506.20000000000005</v>
      </c>
      <c r="J8" s="165">
        <f t="shared" si="1"/>
        <v>96.178000000000011</v>
      </c>
      <c r="K8" s="165">
        <f t="shared" si="2"/>
        <v>5664.3779999999997</v>
      </c>
      <c r="L8" s="165">
        <v>4573</v>
      </c>
      <c r="M8" s="166">
        <v>0.25</v>
      </c>
      <c r="N8" s="167">
        <v>0.32245160015804031</v>
      </c>
      <c r="O8" s="165">
        <v>3429.75</v>
      </c>
      <c r="P8" s="165">
        <f t="shared" si="3"/>
        <v>342.97500000000002</v>
      </c>
      <c r="Q8" s="165">
        <f t="shared" si="4"/>
        <v>65.16525</v>
      </c>
      <c r="R8" s="165">
        <f t="shared" si="5"/>
        <v>3837.8902499999999</v>
      </c>
      <c r="S8" s="71">
        <v>5</v>
      </c>
      <c r="T8" s="71">
        <v>3</v>
      </c>
      <c r="U8" s="91">
        <v>3</v>
      </c>
      <c r="V8" s="71"/>
      <c r="W8" s="71">
        <v>3</v>
      </c>
      <c r="X8" s="71">
        <v>3</v>
      </c>
      <c r="Y8" s="71">
        <v>3</v>
      </c>
      <c r="Z8" s="71">
        <v>3</v>
      </c>
      <c r="AA8" s="71">
        <v>3</v>
      </c>
      <c r="AB8" s="71">
        <v>3</v>
      </c>
      <c r="AC8" s="71">
        <v>3</v>
      </c>
      <c r="AD8" s="71">
        <v>3</v>
      </c>
      <c r="AE8" s="71">
        <v>3</v>
      </c>
      <c r="AF8" s="71">
        <v>3</v>
      </c>
      <c r="AG8" s="71">
        <v>3</v>
      </c>
      <c r="AH8" s="71">
        <v>3</v>
      </c>
      <c r="AI8" s="71">
        <v>3</v>
      </c>
      <c r="AJ8" s="71">
        <v>5</v>
      </c>
      <c r="AK8" s="71"/>
      <c r="AL8" s="71">
        <v>2</v>
      </c>
      <c r="AM8" s="71">
        <v>6</v>
      </c>
      <c r="AN8" s="94"/>
      <c r="AO8" s="71">
        <v>3</v>
      </c>
      <c r="AP8" s="71"/>
      <c r="AQ8" s="71"/>
      <c r="AR8" s="71">
        <v>66</v>
      </c>
      <c r="AS8" s="79">
        <v>226363.5</v>
      </c>
      <c r="AT8" s="91">
        <v>75</v>
      </c>
      <c r="AU8" s="91">
        <v>226363.5</v>
      </c>
      <c r="AV8" s="213"/>
      <c r="AW8" s="214"/>
      <c r="AX8" s="211">
        <v>226363.5</v>
      </c>
      <c r="AY8" s="212"/>
    </row>
    <row r="9" spans="1:51">
      <c r="A9" s="225" t="s">
        <v>1473</v>
      </c>
      <c r="B9" s="228" t="s">
        <v>1474</v>
      </c>
      <c r="C9" s="163">
        <v>25</v>
      </c>
      <c r="D9" s="182" t="s">
        <v>641</v>
      </c>
      <c r="E9" s="177" t="s">
        <v>642</v>
      </c>
      <c r="F9" s="185" t="s">
        <v>643</v>
      </c>
      <c r="G9" s="164">
        <v>122</v>
      </c>
      <c r="H9" s="165">
        <v>11757</v>
      </c>
      <c r="I9" s="165">
        <f t="shared" si="0"/>
        <v>1175.7</v>
      </c>
      <c r="J9" s="165">
        <f t="shared" si="1"/>
        <v>223.38300000000001</v>
      </c>
      <c r="K9" s="165">
        <f t="shared" si="2"/>
        <v>13156.083000000001</v>
      </c>
      <c r="L9" s="165">
        <v>5362</v>
      </c>
      <c r="M9" s="166">
        <v>0.25</v>
      </c>
      <c r="N9" s="167">
        <v>0.65794845623883647</v>
      </c>
      <c r="O9" s="165">
        <v>4021.5</v>
      </c>
      <c r="P9" s="165">
        <f t="shared" si="3"/>
        <v>402.15000000000003</v>
      </c>
      <c r="Q9" s="165">
        <f t="shared" si="4"/>
        <v>76.408500000000004</v>
      </c>
      <c r="R9" s="165">
        <f t="shared" si="5"/>
        <v>4500.0584999999992</v>
      </c>
      <c r="S9" s="94">
        <v>45</v>
      </c>
      <c r="T9" s="94">
        <v>8</v>
      </c>
      <c r="U9" s="191">
        <v>8</v>
      </c>
      <c r="V9" s="71"/>
      <c r="W9" s="77">
        <v>8</v>
      </c>
      <c r="X9" s="94">
        <v>8</v>
      </c>
      <c r="Y9" s="94">
        <v>8</v>
      </c>
      <c r="Z9" s="94">
        <v>8</v>
      </c>
      <c r="AA9" s="94">
        <v>8</v>
      </c>
      <c r="AB9" s="94">
        <v>8</v>
      </c>
      <c r="AC9" s="94">
        <v>8</v>
      </c>
      <c r="AD9" s="94">
        <v>8</v>
      </c>
      <c r="AE9" s="94">
        <v>4</v>
      </c>
      <c r="AF9" s="94">
        <v>4</v>
      </c>
      <c r="AG9" s="94">
        <v>4</v>
      </c>
      <c r="AH9" s="94">
        <v>8</v>
      </c>
      <c r="AI9" s="94">
        <v>4</v>
      </c>
      <c r="AJ9" s="94">
        <v>2</v>
      </c>
      <c r="AK9" s="71"/>
      <c r="AL9" s="94">
        <v>4</v>
      </c>
      <c r="AM9" s="94">
        <v>6</v>
      </c>
      <c r="AN9" s="94"/>
      <c r="AO9" s="94">
        <v>2</v>
      </c>
      <c r="AP9" s="94">
        <v>3</v>
      </c>
      <c r="AQ9" s="71"/>
      <c r="AR9" s="94">
        <v>166</v>
      </c>
      <c r="AS9" s="79">
        <v>667569</v>
      </c>
      <c r="AT9" s="91">
        <v>122</v>
      </c>
      <c r="AU9" s="91">
        <v>490623</v>
      </c>
      <c r="AV9" s="213">
        <v>44</v>
      </c>
      <c r="AW9" s="215">
        <v>517308</v>
      </c>
      <c r="AX9" s="211">
        <v>1007931</v>
      </c>
      <c r="AY9" s="212"/>
    </row>
    <row r="10" spans="1:51">
      <c r="A10" s="225" t="s">
        <v>1473</v>
      </c>
      <c r="B10" s="228" t="s">
        <v>1474</v>
      </c>
      <c r="C10" s="163">
        <v>26</v>
      </c>
      <c r="D10" s="182" t="s">
        <v>644</v>
      </c>
      <c r="E10" s="177" t="s">
        <v>645</v>
      </c>
      <c r="F10" s="185" t="s">
        <v>646</v>
      </c>
      <c r="G10" s="164">
        <v>114</v>
      </c>
      <c r="H10" s="165">
        <v>5754</v>
      </c>
      <c r="I10" s="165">
        <f t="shared" si="0"/>
        <v>575.4</v>
      </c>
      <c r="J10" s="165">
        <f t="shared" si="1"/>
        <v>109.32599999999999</v>
      </c>
      <c r="K10" s="165">
        <f t="shared" si="2"/>
        <v>6438.7259999999997</v>
      </c>
      <c r="L10" s="165">
        <v>3354</v>
      </c>
      <c r="M10" s="166">
        <v>0.25</v>
      </c>
      <c r="N10" s="167">
        <v>0.56282586027111581</v>
      </c>
      <c r="O10" s="165">
        <v>2515.5</v>
      </c>
      <c r="P10" s="165">
        <f t="shared" si="3"/>
        <v>251.55</v>
      </c>
      <c r="Q10" s="165">
        <f t="shared" si="4"/>
        <v>47.794499999999999</v>
      </c>
      <c r="R10" s="165">
        <f t="shared" si="5"/>
        <v>2814.8445000000002</v>
      </c>
      <c r="S10" s="71"/>
      <c r="T10" s="71"/>
      <c r="U10" s="91"/>
      <c r="V10" s="71"/>
      <c r="W10" s="77">
        <v>10</v>
      </c>
      <c r="X10" s="77"/>
      <c r="Y10" s="94">
        <v>10</v>
      </c>
      <c r="Z10" s="71"/>
      <c r="AA10" s="94">
        <v>10</v>
      </c>
      <c r="AB10" s="94">
        <v>10</v>
      </c>
      <c r="AC10" s="94">
        <v>10</v>
      </c>
      <c r="AD10" s="71"/>
      <c r="AE10" s="94">
        <v>10</v>
      </c>
      <c r="AF10" s="94">
        <v>10</v>
      </c>
      <c r="AG10" s="94">
        <v>9</v>
      </c>
      <c r="AH10" s="94">
        <v>10</v>
      </c>
      <c r="AI10" s="94">
        <v>20</v>
      </c>
      <c r="AJ10" s="94">
        <v>10</v>
      </c>
      <c r="AK10" s="94">
        <v>40</v>
      </c>
      <c r="AL10" s="94">
        <v>10</v>
      </c>
      <c r="AM10" s="94">
        <v>30</v>
      </c>
      <c r="AN10" s="94"/>
      <c r="AO10" s="94">
        <v>10</v>
      </c>
      <c r="AP10" s="94">
        <v>25</v>
      </c>
      <c r="AQ10" s="94">
        <v>30</v>
      </c>
      <c r="AR10" s="94">
        <v>264</v>
      </c>
      <c r="AS10" s="79">
        <v>664092</v>
      </c>
      <c r="AT10" s="91">
        <v>114</v>
      </c>
      <c r="AU10" s="91">
        <v>286767</v>
      </c>
      <c r="AV10" s="213">
        <v>150</v>
      </c>
      <c r="AW10" s="215">
        <v>863100</v>
      </c>
      <c r="AX10" s="211">
        <v>1149867</v>
      </c>
      <c r="AY10" s="212"/>
    </row>
    <row r="11" spans="1:51" ht="22.5">
      <c r="A11" s="225" t="s">
        <v>1485</v>
      </c>
      <c r="B11" s="226" t="s">
        <v>1486</v>
      </c>
      <c r="C11" s="163">
        <v>27</v>
      </c>
      <c r="D11" s="182" t="s">
        <v>647</v>
      </c>
      <c r="E11" s="177" t="s">
        <v>648</v>
      </c>
      <c r="F11" s="185" t="s">
        <v>579</v>
      </c>
      <c r="G11" s="164">
        <v>148</v>
      </c>
      <c r="H11" s="165">
        <v>9634</v>
      </c>
      <c r="I11" s="165">
        <f t="shared" si="0"/>
        <v>963.40000000000009</v>
      </c>
      <c r="J11" s="165">
        <f t="shared" si="1"/>
        <v>183.04600000000002</v>
      </c>
      <c r="K11" s="165">
        <f t="shared" si="2"/>
        <v>10780.446</v>
      </c>
      <c r="L11" s="165">
        <v>4560</v>
      </c>
      <c r="M11" s="166">
        <v>0.25</v>
      </c>
      <c r="N11" s="167">
        <v>0.64500726593315338</v>
      </c>
      <c r="O11" s="165">
        <v>3420</v>
      </c>
      <c r="P11" s="165">
        <f t="shared" si="3"/>
        <v>342</v>
      </c>
      <c r="Q11" s="165">
        <f t="shared" si="4"/>
        <v>64.98</v>
      </c>
      <c r="R11" s="165">
        <f t="shared" si="5"/>
        <v>3826.98</v>
      </c>
      <c r="S11" s="71">
        <v>45</v>
      </c>
      <c r="T11" s="71">
        <v>5</v>
      </c>
      <c r="U11" s="91">
        <v>5</v>
      </c>
      <c r="V11" s="71"/>
      <c r="W11" s="71">
        <v>5</v>
      </c>
      <c r="X11" s="71">
        <v>5</v>
      </c>
      <c r="Y11" s="71">
        <v>5</v>
      </c>
      <c r="Z11" s="71">
        <v>5</v>
      </c>
      <c r="AA11" s="71">
        <v>5</v>
      </c>
      <c r="AB11" s="71">
        <v>5</v>
      </c>
      <c r="AC11" s="71">
        <v>5</v>
      </c>
      <c r="AD11" s="71">
        <v>5</v>
      </c>
      <c r="AE11" s="71">
        <v>5</v>
      </c>
      <c r="AF11" s="71">
        <v>5</v>
      </c>
      <c r="AG11" s="71">
        <v>5</v>
      </c>
      <c r="AH11" s="71">
        <v>5</v>
      </c>
      <c r="AI11" s="71">
        <v>5</v>
      </c>
      <c r="AJ11" s="71">
        <v>5</v>
      </c>
      <c r="AK11" s="71"/>
      <c r="AL11" s="71">
        <v>10</v>
      </c>
      <c r="AM11" s="71">
        <v>4</v>
      </c>
      <c r="AN11" s="94"/>
      <c r="AO11" s="71"/>
      <c r="AP11" s="71"/>
      <c r="AQ11" s="71"/>
      <c r="AR11" s="71">
        <v>139</v>
      </c>
      <c r="AS11" s="79">
        <v>475380</v>
      </c>
      <c r="AT11" s="91">
        <v>148</v>
      </c>
      <c r="AU11" s="91">
        <v>475380</v>
      </c>
      <c r="AV11" s="213"/>
      <c r="AW11" s="214"/>
      <c r="AX11" s="211">
        <v>475380</v>
      </c>
      <c r="AY11" s="212"/>
    </row>
    <row r="12" spans="1:51">
      <c r="A12" s="225" t="s">
        <v>1471</v>
      </c>
      <c r="B12" s="227" t="s">
        <v>1472</v>
      </c>
      <c r="C12" s="163">
        <v>30</v>
      </c>
      <c r="D12" s="182" t="s">
        <v>653</v>
      </c>
      <c r="E12" s="177" t="s">
        <v>654</v>
      </c>
      <c r="F12" s="185" t="s">
        <v>643</v>
      </c>
      <c r="G12" s="164">
        <v>226</v>
      </c>
      <c r="H12" s="165">
        <v>8865</v>
      </c>
      <c r="I12" s="165">
        <f t="shared" si="0"/>
        <v>886.5</v>
      </c>
      <c r="J12" s="165">
        <f t="shared" si="1"/>
        <v>168.435</v>
      </c>
      <c r="K12" s="165">
        <f t="shared" si="2"/>
        <v>9919.9349999999995</v>
      </c>
      <c r="L12" s="165">
        <v>5534</v>
      </c>
      <c r="M12" s="166">
        <v>0.25</v>
      </c>
      <c r="N12" s="167">
        <v>0.53181049069373942</v>
      </c>
      <c r="O12" s="165">
        <v>4150.5</v>
      </c>
      <c r="P12" s="165">
        <f t="shared" si="3"/>
        <v>415.05</v>
      </c>
      <c r="Q12" s="165">
        <f t="shared" si="4"/>
        <v>78.859499999999997</v>
      </c>
      <c r="R12" s="165">
        <f t="shared" si="5"/>
        <v>4644.4094999999998</v>
      </c>
      <c r="S12" s="71">
        <v>45</v>
      </c>
      <c r="T12" s="71">
        <v>4</v>
      </c>
      <c r="U12" s="91">
        <v>4</v>
      </c>
      <c r="V12" s="71"/>
      <c r="W12" s="71">
        <v>4</v>
      </c>
      <c r="X12" s="71">
        <v>4</v>
      </c>
      <c r="Y12" s="71">
        <v>4</v>
      </c>
      <c r="Z12" s="71">
        <v>4</v>
      </c>
      <c r="AA12" s="71">
        <v>4</v>
      </c>
      <c r="AB12" s="71">
        <v>4</v>
      </c>
      <c r="AC12" s="71">
        <v>4</v>
      </c>
      <c r="AD12" s="71">
        <v>4</v>
      </c>
      <c r="AE12" s="71">
        <v>4</v>
      </c>
      <c r="AF12" s="71">
        <v>4</v>
      </c>
      <c r="AG12" s="71">
        <v>4</v>
      </c>
      <c r="AH12" s="71">
        <v>4</v>
      </c>
      <c r="AI12" s="71">
        <v>4</v>
      </c>
      <c r="AJ12" s="71">
        <v>8</v>
      </c>
      <c r="AK12" s="71">
        <v>20</v>
      </c>
      <c r="AL12" s="71">
        <v>15</v>
      </c>
      <c r="AM12" s="71">
        <v>15</v>
      </c>
      <c r="AN12" s="94" t="s">
        <v>1408</v>
      </c>
      <c r="AO12" s="71">
        <v>3</v>
      </c>
      <c r="AP12" s="71">
        <v>18</v>
      </c>
      <c r="AQ12" s="71">
        <v>6</v>
      </c>
      <c r="AR12" s="71">
        <v>190</v>
      </c>
      <c r="AS12" s="79">
        <v>788595</v>
      </c>
      <c r="AT12" s="91">
        <v>226</v>
      </c>
      <c r="AU12" s="91">
        <v>788595</v>
      </c>
      <c r="AV12" s="213"/>
      <c r="AW12" s="214"/>
      <c r="AX12" s="211">
        <v>788595</v>
      </c>
      <c r="AY12" s="212"/>
    </row>
    <row r="13" spans="1:51">
      <c r="A13" s="225" t="s">
        <v>1489</v>
      </c>
      <c r="B13" s="225" t="s">
        <v>1490</v>
      </c>
      <c r="C13" s="163">
        <v>44</v>
      </c>
      <c r="D13" s="182" t="s">
        <v>688</v>
      </c>
      <c r="E13" s="177" t="s">
        <v>689</v>
      </c>
      <c r="F13" s="185" t="s">
        <v>579</v>
      </c>
      <c r="G13" s="164">
        <v>182</v>
      </c>
      <c r="H13" s="165">
        <v>28847</v>
      </c>
      <c r="I13" s="165">
        <f t="shared" si="0"/>
        <v>2884.7000000000003</v>
      </c>
      <c r="J13" s="165">
        <f t="shared" si="1"/>
        <v>548.09300000000007</v>
      </c>
      <c r="K13" s="165">
        <f t="shared" si="2"/>
        <v>32279.793000000001</v>
      </c>
      <c r="L13" s="165">
        <v>19277</v>
      </c>
      <c r="M13" s="166">
        <v>0.25</v>
      </c>
      <c r="N13" s="167">
        <v>0.49881270149408952</v>
      </c>
      <c r="O13" s="165">
        <v>14457.75</v>
      </c>
      <c r="P13" s="165">
        <f t="shared" si="3"/>
        <v>1445.7750000000001</v>
      </c>
      <c r="Q13" s="165">
        <f t="shared" si="4"/>
        <v>274.69725</v>
      </c>
      <c r="R13" s="165">
        <f t="shared" si="5"/>
        <v>16178.222249999999</v>
      </c>
      <c r="S13" s="71">
        <v>50</v>
      </c>
      <c r="T13" s="71">
        <v>8</v>
      </c>
      <c r="U13" s="91">
        <v>8</v>
      </c>
      <c r="V13" s="71"/>
      <c r="W13" s="71">
        <v>8</v>
      </c>
      <c r="X13" s="77">
        <v>8</v>
      </c>
      <c r="Y13" s="71">
        <v>8</v>
      </c>
      <c r="Z13" s="71">
        <v>8</v>
      </c>
      <c r="AA13" s="71">
        <v>8</v>
      </c>
      <c r="AB13" s="71">
        <v>8</v>
      </c>
      <c r="AC13" s="71">
        <v>8</v>
      </c>
      <c r="AD13" s="71">
        <v>8</v>
      </c>
      <c r="AE13" s="71">
        <v>4</v>
      </c>
      <c r="AF13" s="71">
        <v>4</v>
      </c>
      <c r="AG13" s="71"/>
      <c r="AH13" s="71">
        <v>8</v>
      </c>
      <c r="AI13" s="71">
        <v>4</v>
      </c>
      <c r="AJ13" s="71">
        <v>4</v>
      </c>
      <c r="AK13" s="71"/>
      <c r="AL13" s="71">
        <v>3</v>
      </c>
      <c r="AM13" s="71"/>
      <c r="AN13" s="94" t="s">
        <v>1409</v>
      </c>
      <c r="AO13" s="71"/>
      <c r="AP13" s="71">
        <v>3</v>
      </c>
      <c r="AQ13" s="71"/>
      <c r="AR13" s="71">
        <v>160</v>
      </c>
      <c r="AS13" s="79">
        <v>2313240</v>
      </c>
      <c r="AT13" s="91">
        <v>182</v>
      </c>
      <c r="AU13" s="91">
        <v>2313240</v>
      </c>
      <c r="AV13" s="213"/>
      <c r="AW13" s="214"/>
      <c r="AX13" s="211">
        <v>2313240</v>
      </c>
      <c r="AY13" s="212"/>
    </row>
    <row r="14" spans="1:51">
      <c r="A14" s="225" t="s">
        <v>1491</v>
      </c>
      <c r="B14" s="225" t="s">
        <v>1492</v>
      </c>
      <c r="C14" s="163">
        <v>48</v>
      </c>
      <c r="D14" s="182" t="s">
        <v>696</v>
      </c>
      <c r="E14" s="177" t="s">
        <v>697</v>
      </c>
      <c r="F14" s="185" t="s">
        <v>579</v>
      </c>
      <c r="G14" s="164">
        <v>171</v>
      </c>
      <c r="H14" s="165">
        <v>64693</v>
      </c>
      <c r="I14" s="165">
        <f t="shared" si="0"/>
        <v>6469.3</v>
      </c>
      <c r="J14" s="165">
        <f t="shared" si="1"/>
        <v>1229.1670000000001</v>
      </c>
      <c r="K14" s="165">
        <f t="shared" si="2"/>
        <v>72391.467000000004</v>
      </c>
      <c r="L14" s="165">
        <v>33488</v>
      </c>
      <c r="M14" s="166">
        <v>0.25</v>
      </c>
      <c r="N14" s="167">
        <v>0.61176634257183937</v>
      </c>
      <c r="O14" s="165">
        <v>25116</v>
      </c>
      <c r="P14" s="165">
        <f t="shared" si="3"/>
        <v>2511.6000000000004</v>
      </c>
      <c r="Q14" s="165">
        <f t="shared" si="4"/>
        <v>477.20400000000006</v>
      </c>
      <c r="R14" s="165">
        <f t="shared" si="5"/>
        <v>28104.804</v>
      </c>
      <c r="S14" s="71">
        <v>50</v>
      </c>
      <c r="T14" s="71">
        <v>2</v>
      </c>
      <c r="U14" s="91">
        <v>2</v>
      </c>
      <c r="V14" s="71"/>
      <c r="W14" s="71">
        <v>2</v>
      </c>
      <c r="X14" s="71">
        <v>2</v>
      </c>
      <c r="Y14" s="71">
        <v>2</v>
      </c>
      <c r="Z14" s="71">
        <v>2</v>
      </c>
      <c r="AA14" s="71">
        <v>2</v>
      </c>
      <c r="AB14" s="71">
        <v>2</v>
      </c>
      <c r="AC14" s="71">
        <v>2</v>
      </c>
      <c r="AD14" s="71">
        <v>2</v>
      </c>
      <c r="AE14" s="71">
        <v>2</v>
      </c>
      <c r="AF14" s="71">
        <v>2</v>
      </c>
      <c r="AG14" s="71">
        <v>2</v>
      </c>
      <c r="AH14" s="71">
        <v>2</v>
      </c>
      <c r="AI14" s="71">
        <v>2</v>
      </c>
      <c r="AJ14" s="71">
        <v>4</v>
      </c>
      <c r="AK14" s="71"/>
      <c r="AL14" s="71">
        <v>1</v>
      </c>
      <c r="AM14" s="71">
        <v>6</v>
      </c>
      <c r="AN14" s="94" t="s">
        <v>1409</v>
      </c>
      <c r="AO14" s="71"/>
      <c r="AP14" s="71">
        <v>3</v>
      </c>
      <c r="AQ14" s="71">
        <v>1</v>
      </c>
      <c r="AR14" s="71">
        <v>95</v>
      </c>
      <c r="AS14" s="79">
        <v>2386020</v>
      </c>
      <c r="AT14" s="91">
        <v>171</v>
      </c>
      <c r="AU14" s="91">
        <v>2386020</v>
      </c>
      <c r="AV14" s="213"/>
      <c r="AW14" s="214"/>
      <c r="AX14" s="211">
        <v>2386020</v>
      </c>
      <c r="AY14" s="212"/>
    </row>
    <row r="15" spans="1:51">
      <c r="A15" s="225" t="s">
        <v>1489</v>
      </c>
      <c r="B15" s="225" t="s">
        <v>1490</v>
      </c>
      <c r="C15" s="163">
        <v>49</v>
      </c>
      <c r="D15" s="182" t="s">
        <v>698</v>
      </c>
      <c r="E15" s="177" t="s">
        <v>699</v>
      </c>
      <c r="F15" s="185" t="s">
        <v>700</v>
      </c>
      <c r="G15" s="164">
        <v>113</v>
      </c>
      <c r="H15" s="165">
        <v>24300</v>
      </c>
      <c r="I15" s="165">
        <f t="shared" si="0"/>
        <v>2430</v>
      </c>
      <c r="J15" s="165">
        <f t="shared" si="1"/>
        <v>461.7</v>
      </c>
      <c r="K15" s="165">
        <f t="shared" si="2"/>
        <v>27191.7</v>
      </c>
      <c r="L15" s="165">
        <v>18358</v>
      </c>
      <c r="M15" s="166">
        <v>0.25</v>
      </c>
      <c r="N15" s="167">
        <v>0.43339506172839504</v>
      </c>
      <c r="O15" s="165">
        <v>13768.5</v>
      </c>
      <c r="P15" s="165">
        <f t="shared" si="3"/>
        <v>1376.8500000000001</v>
      </c>
      <c r="Q15" s="165">
        <f t="shared" si="4"/>
        <v>261.60150000000004</v>
      </c>
      <c r="R15" s="165">
        <f t="shared" si="5"/>
        <v>15406.951500000001</v>
      </c>
      <c r="S15" s="71">
        <v>45</v>
      </c>
      <c r="T15" s="71">
        <v>3</v>
      </c>
      <c r="U15" s="91">
        <v>3</v>
      </c>
      <c r="V15" s="71"/>
      <c r="W15" s="71">
        <v>3</v>
      </c>
      <c r="X15" s="71">
        <v>3</v>
      </c>
      <c r="Y15" s="71">
        <v>3</v>
      </c>
      <c r="Z15" s="71">
        <v>3</v>
      </c>
      <c r="AA15" s="71">
        <v>3</v>
      </c>
      <c r="AB15" s="71">
        <v>3</v>
      </c>
      <c r="AC15" s="71"/>
      <c r="AD15" s="71">
        <v>3</v>
      </c>
      <c r="AE15" s="71">
        <v>3</v>
      </c>
      <c r="AF15" s="71">
        <v>3</v>
      </c>
      <c r="AG15" s="71">
        <v>3</v>
      </c>
      <c r="AH15" s="71">
        <v>3</v>
      </c>
      <c r="AI15" s="71">
        <v>3</v>
      </c>
      <c r="AJ15" s="71">
        <v>2</v>
      </c>
      <c r="AK15" s="71"/>
      <c r="AL15" s="71">
        <v>5</v>
      </c>
      <c r="AM15" s="71"/>
      <c r="AN15" s="94" t="s">
        <v>1409</v>
      </c>
      <c r="AO15" s="71"/>
      <c r="AP15" s="71">
        <v>4</v>
      </c>
      <c r="AQ15" s="71"/>
      <c r="AR15" s="71">
        <v>98</v>
      </c>
      <c r="AS15" s="79">
        <v>1349313</v>
      </c>
      <c r="AT15" s="91">
        <v>113</v>
      </c>
      <c r="AU15" s="91">
        <v>1349313</v>
      </c>
      <c r="AV15" s="213"/>
      <c r="AW15" s="214"/>
      <c r="AX15" s="211">
        <v>1349313</v>
      </c>
      <c r="AY15" s="212"/>
    </row>
    <row r="16" spans="1:51">
      <c r="A16" s="225" t="s">
        <v>1491</v>
      </c>
      <c r="B16" s="225" t="s">
        <v>1492</v>
      </c>
      <c r="C16" s="163">
        <v>50</v>
      </c>
      <c r="D16" s="182" t="s">
        <v>701</v>
      </c>
      <c r="E16" s="177" t="s">
        <v>702</v>
      </c>
      <c r="F16" s="185" t="s">
        <v>579</v>
      </c>
      <c r="G16" s="164">
        <v>167</v>
      </c>
      <c r="H16" s="165">
        <v>16746</v>
      </c>
      <c r="I16" s="165">
        <f t="shared" si="0"/>
        <v>1674.6000000000001</v>
      </c>
      <c r="J16" s="165">
        <f t="shared" si="1"/>
        <v>318.17400000000004</v>
      </c>
      <c r="K16" s="165">
        <f t="shared" si="2"/>
        <v>18738.773999999998</v>
      </c>
      <c r="L16" s="165">
        <v>7567</v>
      </c>
      <c r="M16" s="166">
        <v>0.25</v>
      </c>
      <c r="N16" s="167">
        <v>0.66109817269795768</v>
      </c>
      <c r="O16" s="165">
        <v>5675.25</v>
      </c>
      <c r="P16" s="165">
        <f t="shared" si="3"/>
        <v>567.52499999999998</v>
      </c>
      <c r="Q16" s="165">
        <f t="shared" si="4"/>
        <v>107.82974999999999</v>
      </c>
      <c r="R16" s="165">
        <f t="shared" si="5"/>
        <v>6350.6047499999995</v>
      </c>
      <c r="S16" s="71">
        <v>60</v>
      </c>
      <c r="T16" s="71">
        <v>2</v>
      </c>
      <c r="U16" s="91">
        <v>2</v>
      </c>
      <c r="V16" s="71"/>
      <c r="W16" s="71">
        <v>2</v>
      </c>
      <c r="X16" s="71">
        <v>2</v>
      </c>
      <c r="Y16" s="71">
        <v>2</v>
      </c>
      <c r="Z16" s="71">
        <v>2</v>
      </c>
      <c r="AA16" s="71">
        <v>2</v>
      </c>
      <c r="AB16" s="71">
        <v>2</v>
      </c>
      <c r="AC16" s="71">
        <v>2</v>
      </c>
      <c r="AD16" s="71">
        <v>2</v>
      </c>
      <c r="AE16" s="71">
        <v>2</v>
      </c>
      <c r="AF16" s="71">
        <v>2</v>
      </c>
      <c r="AG16" s="71">
        <v>2</v>
      </c>
      <c r="AH16" s="71">
        <v>2</v>
      </c>
      <c r="AI16" s="71">
        <v>2</v>
      </c>
      <c r="AJ16" s="71">
        <v>2</v>
      </c>
      <c r="AK16" s="71">
        <v>8</v>
      </c>
      <c r="AL16" s="71">
        <v>10</v>
      </c>
      <c r="AM16" s="71">
        <v>10</v>
      </c>
      <c r="AN16" s="94" t="s">
        <v>1409</v>
      </c>
      <c r="AO16" s="71">
        <v>3</v>
      </c>
      <c r="AP16" s="71">
        <v>15</v>
      </c>
      <c r="AQ16" s="71"/>
      <c r="AR16" s="71">
        <v>138</v>
      </c>
      <c r="AS16" s="79">
        <v>783184.5</v>
      </c>
      <c r="AT16" s="91">
        <v>167</v>
      </c>
      <c r="AU16" s="91">
        <v>783184.5</v>
      </c>
      <c r="AV16" s="213"/>
      <c r="AW16" s="214"/>
      <c r="AX16" s="211">
        <v>783184.5</v>
      </c>
      <c r="AY16" s="212"/>
    </row>
    <row r="17" spans="1:51">
      <c r="A17" s="225" t="s">
        <v>1491</v>
      </c>
      <c r="B17" s="225" t="s">
        <v>1492</v>
      </c>
      <c r="C17" s="163">
        <v>52</v>
      </c>
      <c r="D17" s="182" t="s">
        <v>705</v>
      </c>
      <c r="E17" s="177" t="s">
        <v>706</v>
      </c>
      <c r="F17" s="185" t="s">
        <v>700</v>
      </c>
      <c r="G17" s="164">
        <v>27</v>
      </c>
      <c r="H17" s="165">
        <v>12921</v>
      </c>
      <c r="I17" s="165">
        <f t="shared" si="0"/>
        <v>1292.1000000000001</v>
      </c>
      <c r="J17" s="165">
        <f t="shared" si="1"/>
        <v>245.49900000000002</v>
      </c>
      <c r="K17" s="165">
        <f t="shared" si="2"/>
        <v>14458.599</v>
      </c>
      <c r="L17" s="165">
        <v>6960</v>
      </c>
      <c r="M17" s="166">
        <v>0.2</v>
      </c>
      <c r="N17" s="167">
        <v>0.56907360111446481</v>
      </c>
      <c r="O17" s="165">
        <v>5568</v>
      </c>
      <c r="P17" s="165">
        <f t="shared" si="3"/>
        <v>556.80000000000007</v>
      </c>
      <c r="Q17" s="165">
        <f t="shared" si="4"/>
        <v>105.79200000000002</v>
      </c>
      <c r="R17" s="165">
        <f t="shared" si="5"/>
        <v>6230.5920000000006</v>
      </c>
      <c r="S17" s="94">
        <v>24</v>
      </c>
      <c r="T17" s="94">
        <v>3</v>
      </c>
      <c r="U17" s="191">
        <v>3</v>
      </c>
      <c r="V17" s="71"/>
      <c r="W17" s="94">
        <v>3</v>
      </c>
      <c r="X17" s="94">
        <v>3</v>
      </c>
      <c r="Y17" s="71">
        <v>3</v>
      </c>
      <c r="Z17" s="94">
        <v>3</v>
      </c>
      <c r="AA17" s="94">
        <v>3</v>
      </c>
      <c r="AB17" s="94">
        <v>3</v>
      </c>
      <c r="AC17" s="94">
        <v>3</v>
      </c>
      <c r="AD17" s="94">
        <v>3</v>
      </c>
      <c r="AE17" s="94">
        <v>3</v>
      </c>
      <c r="AF17" s="94">
        <v>3</v>
      </c>
      <c r="AG17" s="94">
        <v>3</v>
      </c>
      <c r="AH17" s="94">
        <v>3</v>
      </c>
      <c r="AI17" s="94">
        <v>3</v>
      </c>
      <c r="AJ17" s="71"/>
      <c r="AK17" s="71"/>
      <c r="AL17" s="94">
        <v>4</v>
      </c>
      <c r="AM17" s="94">
        <v>4</v>
      </c>
      <c r="AN17" s="94"/>
      <c r="AO17" s="94">
        <v>2</v>
      </c>
      <c r="AP17" s="71"/>
      <c r="AQ17" s="94">
        <v>2</v>
      </c>
      <c r="AR17" s="94">
        <v>81</v>
      </c>
      <c r="AS17" s="79">
        <v>451008</v>
      </c>
      <c r="AT17" s="91">
        <v>27</v>
      </c>
      <c r="AU17" s="91">
        <v>150336</v>
      </c>
      <c r="AV17" s="213">
        <v>54</v>
      </c>
      <c r="AW17" s="215">
        <v>697734</v>
      </c>
      <c r="AX17" s="211">
        <v>848070</v>
      </c>
      <c r="AY17" s="212"/>
    </row>
    <row r="18" spans="1:51">
      <c r="A18" s="225" t="s">
        <v>1469</v>
      </c>
      <c r="B18" s="225" t="s">
        <v>1470</v>
      </c>
      <c r="C18" s="163">
        <v>55</v>
      </c>
      <c r="D18" s="182" t="s">
        <v>713</v>
      </c>
      <c r="E18" s="177" t="s">
        <v>714</v>
      </c>
      <c r="F18" s="185" t="s">
        <v>579</v>
      </c>
      <c r="G18" s="164">
        <v>64</v>
      </c>
      <c r="H18" s="165">
        <v>36815</v>
      </c>
      <c r="I18" s="165">
        <f t="shared" si="0"/>
        <v>3681.5</v>
      </c>
      <c r="J18" s="165">
        <f t="shared" si="1"/>
        <v>699.48500000000001</v>
      </c>
      <c r="K18" s="165">
        <f t="shared" si="2"/>
        <v>41195.985000000001</v>
      </c>
      <c r="L18" s="165">
        <v>16273</v>
      </c>
      <c r="M18" s="166">
        <v>0.25</v>
      </c>
      <c r="N18" s="167">
        <v>0.6684843134591878</v>
      </c>
      <c r="O18" s="165">
        <v>12204.75</v>
      </c>
      <c r="P18" s="165">
        <f t="shared" si="3"/>
        <v>1220.4750000000001</v>
      </c>
      <c r="Q18" s="165">
        <f t="shared" si="4"/>
        <v>231.89025000000004</v>
      </c>
      <c r="R18" s="165">
        <f t="shared" si="5"/>
        <v>13657.115250000001</v>
      </c>
      <c r="S18" s="71">
        <v>15</v>
      </c>
      <c r="T18" s="71">
        <v>3</v>
      </c>
      <c r="U18" s="91">
        <v>3</v>
      </c>
      <c r="V18" s="71">
        <v>3</v>
      </c>
      <c r="W18" s="71">
        <v>3</v>
      </c>
      <c r="X18" s="71">
        <v>3</v>
      </c>
      <c r="Y18" s="71">
        <v>3</v>
      </c>
      <c r="Z18" s="71">
        <v>3</v>
      </c>
      <c r="AA18" s="71">
        <v>3</v>
      </c>
      <c r="AB18" s="71">
        <v>3</v>
      </c>
      <c r="AC18" s="71">
        <v>3</v>
      </c>
      <c r="AD18" s="71"/>
      <c r="AE18" s="71">
        <v>3</v>
      </c>
      <c r="AF18" s="71">
        <v>3</v>
      </c>
      <c r="AG18" s="71">
        <v>3</v>
      </c>
      <c r="AH18" s="71">
        <v>3</v>
      </c>
      <c r="AI18" s="71">
        <v>3</v>
      </c>
      <c r="AJ18" s="71"/>
      <c r="AK18" s="71"/>
      <c r="AL18" s="71"/>
      <c r="AM18" s="71"/>
      <c r="AN18" s="94"/>
      <c r="AO18" s="71"/>
      <c r="AP18" s="71">
        <v>4</v>
      </c>
      <c r="AQ18" s="71"/>
      <c r="AR18" s="71">
        <v>64</v>
      </c>
      <c r="AS18" s="79">
        <v>781104</v>
      </c>
      <c r="AT18" s="91">
        <v>64</v>
      </c>
      <c r="AU18" s="91">
        <v>781104</v>
      </c>
      <c r="AV18" s="213"/>
      <c r="AW18" s="214"/>
      <c r="AX18" s="211">
        <v>781104</v>
      </c>
      <c r="AY18" s="212"/>
    </row>
    <row r="19" spans="1:51">
      <c r="A19" s="225" t="s">
        <v>1487</v>
      </c>
      <c r="B19" s="225" t="s">
        <v>1488</v>
      </c>
      <c r="C19" s="163">
        <v>60</v>
      </c>
      <c r="D19" s="182" t="s">
        <v>727</v>
      </c>
      <c r="E19" s="177" t="s">
        <v>728</v>
      </c>
      <c r="F19" s="185" t="s">
        <v>643</v>
      </c>
      <c r="G19" s="164">
        <v>132</v>
      </c>
      <c r="H19" s="165">
        <v>10224</v>
      </c>
      <c r="I19" s="165">
        <f t="shared" si="0"/>
        <v>1022.4000000000001</v>
      </c>
      <c r="J19" s="165">
        <f t="shared" si="1"/>
        <v>194.25600000000003</v>
      </c>
      <c r="K19" s="165">
        <f t="shared" si="2"/>
        <v>11440.655999999999</v>
      </c>
      <c r="L19" s="165">
        <v>6024</v>
      </c>
      <c r="M19" s="166">
        <v>0.25</v>
      </c>
      <c r="N19" s="167">
        <v>0.55809859154929575</v>
      </c>
      <c r="O19" s="165">
        <v>4518</v>
      </c>
      <c r="P19" s="165">
        <f t="shared" si="3"/>
        <v>451.8</v>
      </c>
      <c r="Q19" s="165">
        <f t="shared" si="4"/>
        <v>85.841999999999999</v>
      </c>
      <c r="R19" s="165">
        <f t="shared" si="5"/>
        <v>5055.6419999999998</v>
      </c>
      <c r="S19" s="71">
        <v>36</v>
      </c>
      <c r="T19" s="71">
        <v>3</v>
      </c>
      <c r="U19" s="91">
        <v>3</v>
      </c>
      <c r="V19" s="71"/>
      <c r="W19" s="71">
        <v>3</v>
      </c>
      <c r="X19" s="71">
        <v>3</v>
      </c>
      <c r="Y19" s="71">
        <v>3</v>
      </c>
      <c r="Z19" s="71">
        <v>3</v>
      </c>
      <c r="AA19" s="71">
        <v>3</v>
      </c>
      <c r="AB19" s="71">
        <v>3</v>
      </c>
      <c r="AC19" s="71">
        <v>3</v>
      </c>
      <c r="AD19" s="71">
        <v>3</v>
      </c>
      <c r="AE19" s="71">
        <v>3</v>
      </c>
      <c r="AF19" s="71">
        <v>3</v>
      </c>
      <c r="AG19" s="71">
        <v>3</v>
      </c>
      <c r="AH19" s="71">
        <v>3</v>
      </c>
      <c r="AI19" s="71">
        <v>3</v>
      </c>
      <c r="AJ19" s="71"/>
      <c r="AK19" s="71">
        <v>16</v>
      </c>
      <c r="AL19" s="71">
        <v>6</v>
      </c>
      <c r="AM19" s="71">
        <v>9</v>
      </c>
      <c r="AN19" s="94"/>
      <c r="AO19" s="71">
        <v>3</v>
      </c>
      <c r="AP19" s="71">
        <v>6</v>
      </c>
      <c r="AQ19" s="71">
        <v>2</v>
      </c>
      <c r="AR19" s="71">
        <v>123</v>
      </c>
      <c r="AS19" s="79">
        <v>555714</v>
      </c>
      <c r="AT19" s="91">
        <v>132</v>
      </c>
      <c r="AU19" s="91">
        <v>555714</v>
      </c>
      <c r="AV19" s="213"/>
      <c r="AW19" s="214"/>
      <c r="AX19" s="211">
        <v>555714</v>
      </c>
      <c r="AY19" s="212"/>
    </row>
    <row r="20" spans="1:51">
      <c r="A20" s="225" t="s">
        <v>1487</v>
      </c>
      <c r="B20" s="225" t="s">
        <v>1488</v>
      </c>
      <c r="C20" s="163">
        <v>61</v>
      </c>
      <c r="D20" s="182" t="s">
        <v>729</v>
      </c>
      <c r="E20" s="177" t="s">
        <v>730</v>
      </c>
      <c r="F20" s="185" t="s">
        <v>731</v>
      </c>
      <c r="G20" s="164">
        <v>80</v>
      </c>
      <c r="H20" s="165">
        <v>14175</v>
      </c>
      <c r="I20" s="165">
        <f t="shared" si="0"/>
        <v>1417.5</v>
      </c>
      <c r="J20" s="165">
        <f t="shared" si="1"/>
        <v>269.32499999999999</v>
      </c>
      <c r="K20" s="165">
        <f t="shared" si="2"/>
        <v>15861.825000000001</v>
      </c>
      <c r="L20" s="165">
        <v>8035</v>
      </c>
      <c r="M20" s="166">
        <v>0.25</v>
      </c>
      <c r="N20" s="167">
        <v>0.57486772486772486</v>
      </c>
      <c r="O20" s="165">
        <v>6026.25</v>
      </c>
      <c r="P20" s="165">
        <f t="shared" si="3"/>
        <v>602.625</v>
      </c>
      <c r="Q20" s="165">
        <f t="shared" si="4"/>
        <v>114.49875</v>
      </c>
      <c r="R20" s="165">
        <f t="shared" si="5"/>
        <v>6743.3737499999997</v>
      </c>
      <c r="S20" s="71">
        <v>10</v>
      </c>
      <c r="T20" s="71"/>
      <c r="U20" s="91">
        <v>2</v>
      </c>
      <c r="V20" s="71"/>
      <c r="W20" s="71">
        <v>2</v>
      </c>
      <c r="X20" s="71">
        <v>2</v>
      </c>
      <c r="Y20" s="71">
        <v>2</v>
      </c>
      <c r="Z20" s="71">
        <v>2</v>
      </c>
      <c r="AA20" s="71">
        <v>2</v>
      </c>
      <c r="AB20" s="71">
        <v>2</v>
      </c>
      <c r="AC20" s="71">
        <v>2</v>
      </c>
      <c r="AD20" s="71">
        <v>6</v>
      </c>
      <c r="AE20" s="71">
        <v>2</v>
      </c>
      <c r="AF20" s="71">
        <v>2</v>
      </c>
      <c r="AG20" s="71">
        <v>2</v>
      </c>
      <c r="AH20" s="71">
        <v>2</v>
      </c>
      <c r="AI20" s="71">
        <v>2</v>
      </c>
      <c r="AJ20" s="71"/>
      <c r="AK20" s="71">
        <v>15</v>
      </c>
      <c r="AL20" s="71">
        <v>20</v>
      </c>
      <c r="AM20" s="71">
        <v>7</v>
      </c>
      <c r="AN20" s="94" t="s">
        <v>1410</v>
      </c>
      <c r="AO20" s="71">
        <v>3</v>
      </c>
      <c r="AP20" s="71">
        <v>5</v>
      </c>
      <c r="AQ20" s="71"/>
      <c r="AR20" s="71">
        <v>92</v>
      </c>
      <c r="AS20" s="79">
        <v>554415</v>
      </c>
      <c r="AT20" s="91">
        <v>80</v>
      </c>
      <c r="AU20" s="91">
        <v>482100</v>
      </c>
      <c r="AV20" s="213">
        <v>12</v>
      </c>
      <c r="AW20" s="215">
        <v>170100</v>
      </c>
      <c r="AX20" s="211">
        <v>652200</v>
      </c>
      <c r="AY20" s="212"/>
    </row>
    <row r="21" spans="1:51">
      <c r="A21" s="225" t="s">
        <v>1467</v>
      </c>
      <c r="B21" s="225" t="s">
        <v>1468</v>
      </c>
      <c r="C21" s="163">
        <v>62</v>
      </c>
      <c r="D21" s="182" t="s">
        <v>732</v>
      </c>
      <c r="E21" s="177" t="s">
        <v>733</v>
      </c>
      <c r="F21" s="185" t="s">
        <v>734</v>
      </c>
      <c r="G21" s="164">
        <v>37</v>
      </c>
      <c r="H21" s="165">
        <v>20241</v>
      </c>
      <c r="I21" s="165">
        <f t="shared" si="0"/>
        <v>2024.1000000000001</v>
      </c>
      <c r="J21" s="165">
        <f t="shared" si="1"/>
        <v>384.57900000000001</v>
      </c>
      <c r="K21" s="165">
        <f t="shared" si="2"/>
        <v>22649.679</v>
      </c>
      <c r="L21" s="165">
        <v>10137</v>
      </c>
      <c r="M21" s="166">
        <v>0.25</v>
      </c>
      <c r="N21" s="167">
        <v>0.62438861716318361</v>
      </c>
      <c r="O21" s="165">
        <v>7602.75</v>
      </c>
      <c r="P21" s="165">
        <f t="shared" si="3"/>
        <v>760.27500000000009</v>
      </c>
      <c r="Q21" s="165">
        <f t="shared" si="4"/>
        <v>144.45225000000002</v>
      </c>
      <c r="R21" s="165">
        <f t="shared" si="5"/>
        <v>8507.4772499999999</v>
      </c>
      <c r="S21" s="71">
        <v>5</v>
      </c>
      <c r="T21" s="71"/>
      <c r="U21" s="91"/>
      <c r="V21" s="71"/>
      <c r="W21" s="71"/>
      <c r="X21" s="71"/>
      <c r="Y21" s="71"/>
      <c r="Z21" s="71"/>
      <c r="AA21" s="71"/>
      <c r="AB21" s="71"/>
      <c r="AC21" s="71"/>
      <c r="AD21" s="71"/>
      <c r="AE21" s="71"/>
      <c r="AF21" s="71"/>
      <c r="AG21" s="71"/>
      <c r="AH21" s="71"/>
      <c r="AI21" s="71"/>
      <c r="AJ21" s="71"/>
      <c r="AK21" s="71"/>
      <c r="AL21" s="71"/>
      <c r="AM21" s="71"/>
      <c r="AN21" s="94"/>
      <c r="AO21" s="71"/>
      <c r="AP21" s="71"/>
      <c r="AQ21" s="71"/>
      <c r="AR21" s="71">
        <v>5</v>
      </c>
      <c r="AS21" s="79">
        <v>38013.75</v>
      </c>
      <c r="AT21" s="91">
        <v>37</v>
      </c>
      <c r="AU21" s="91">
        <v>38013.75</v>
      </c>
      <c r="AV21" s="213"/>
      <c r="AW21" s="214"/>
      <c r="AX21" s="211">
        <v>38013.75</v>
      </c>
      <c r="AY21" s="212"/>
    </row>
    <row r="22" spans="1:51">
      <c r="A22" s="225" t="s">
        <v>1467</v>
      </c>
      <c r="B22" s="225" t="s">
        <v>1468</v>
      </c>
      <c r="C22" s="163">
        <v>63</v>
      </c>
      <c r="D22" s="182" t="s">
        <v>735</v>
      </c>
      <c r="E22" s="178" t="s">
        <v>736</v>
      </c>
      <c r="F22" s="185" t="s">
        <v>734</v>
      </c>
      <c r="G22" s="164">
        <v>46</v>
      </c>
      <c r="H22" s="165">
        <v>21814</v>
      </c>
      <c r="I22" s="165">
        <f t="shared" si="0"/>
        <v>2181.4</v>
      </c>
      <c r="J22" s="165">
        <f t="shared" si="1"/>
        <v>414.46600000000001</v>
      </c>
      <c r="K22" s="165">
        <f t="shared" si="2"/>
        <v>24409.866000000002</v>
      </c>
      <c r="L22" s="165">
        <v>11561</v>
      </c>
      <c r="M22" s="166">
        <v>0.25</v>
      </c>
      <c r="N22" s="167">
        <v>0.60251444026771805</v>
      </c>
      <c r="O22" s="165">
        <v>8670.75</v>
      </c>
      <c r="P22" s="165">
        <f t="shared" si="3"/>
        <v>867.07500000000005</v>
      </c>
      <c r="Q22" s="165">
        <f t="shared" si="4"/>
        <v>164.74425000000002</v>
      </c>
      <c r="R22" s="165">
        <f t="shared" si="5"/>
        <v>9702.5692500000005</v>
      </c>
      <c r="S22" s="71">
        <v>10</v>
      </c>
      <c r="T22" s="71">
        <v>3</v>
      </c>
      <c r="U22" s="91">
        <v>3</v>
      </c>
      <c r="V22" s="71"/>
      <c r="W22" s="71">
        <v>3</v>
      </c>
      <c r="X22" s="77">
        <v>3</v>
      </c>
      <c r="Y22" s="71">
        <v>3</v>
      </c>
      <c r="Z22" s="71">
        <v>3</v>
      </c>
      <c r="AA22" s="71">
        <v>3</v>
      </c>
      <c r="AB22" s="71">
        <v>3</v>
      </c>
      <c r="AC22" s="71">
        <v>3</v>
      </c>
      <c r="AD22" s="71"/>
      <c r="AE22" s="71">
        <v>3</v>
      </c>
      <c r="AF22" s="71">
        <v>3</v>
      </c>
      <c r="AG22" s="71">
        <v>3</v>
      </c>
      <c r="AH22" s="71">
        <v>3</v>
      </c>
      <c r="AI22" s="71">
        <v>3</v>
      </c>
      <c r="AJ22" s="71"/>
      <c r="AK22" s="71">
        <v>20</v>
      </c>
      <c r="AL22" s="71">
        <v>2</v>
      </c>
      <c r="AM22" s="71">
        <v>40</v>
      </c>
      <c r="AN22" s="94" t="s">
        <v>1411</v>
      </c>
      <c r="AO22" s="71"/>
      <c r="AP22" s="71">
        <v>25</v>
      </c>
      <c r="AQ22" s="71">
        <v>2</v>
      </c>
      <c r="AR22" s="71">
        <v>141</v>
      </c>
      <c r="AS22" s="79">
        <v>1222575.75</v>
      </c>
      <c r="AT22" s="91">
        <v>46</v>
      </c>
      <c r="AU22" s="91">
        <v>398854.5</v>
      </c>
      <c r="AV22" s="213">
        <v>95</v>
      </c>
      <c r="AW22" s="215">
        <v>2072330</v>
      </c>
      <c r="AX22" s="211">
        <v>2471184.5</v>
      </c>
      <c r="AY22" s="212"/>
    </row>
    <row r="23" spans="1:51">
      <c r="A23" s="225" t="s">
        <v>1451</v>
      </c>
      <c r="B23" s="225" t="s">
        <v>1452</v>
      </c>
      <c r="C23" s="163">
        <v>64</v>
      </c>
      <c r="D23" s="182" t="s">
        <v>737</v>
      </c>
      <c r="E23" s="178" t="s">
        <v>738</v>
      </c>
      <c r="F23" s="185" t="s">
        <v>1</v>
      </c>
      <c r="G23" s="164">
        <v>125</v>
      </c>
      <c r="H23" s="165">
        <v>7210</v>
      </c>
      <c r="I23" s="165">
        <f t="shared" si="0"/>
        <v>721</v>
      </c>
      <c r="J23" s="165">
        <f t="shared" si="1"/>
        <v>136.99</v>
      </c>
      <c r="K23" s="165">
        <f t="shared" si="2"/>
        <v>8067.99</v>
      </c>
      <c r="L23" s="165">
        <v>1251</v>
      </c>
      <c r="M23" s="166">
        <v>0.20000000000000004</v>
      </c>
      <c r="N23" s="167">
        <v>0.86119278779472952</v>
      </c>
      <c r="O23" s="165">
        <v>1000.8</v>
      </c>
      <c r="P23" s="165">
        <f t="shared" si="3"/>
        <v>100.08</v>
      </c>
      <c r="Q23" s="165">
        <f t="shared" si="4"/>
        <v>19.0152</v>
      </c>
      <c r="R23" s="165">
        <f t="shared" si="5"/>
        <v>1119.8951999999999</v>
      </c>
      <c r="S23" s="71">
        <v>30</v>
      </c>
      <c r="T23" s="71">
        <v>4</v>
      </c>
      <c r="U23" s="91">
        <v>4</v>
      </c>
      <c r="V23" s="71"/>
      <c r="W23" s="71">
        <v>4</v>
      </c>
      <c r="X23" s="71">
        <v>4</v>
      </c>
      <c r="Y23" s="71">
        <v>4</v>
      </c>
      <c r="Z23" s="71">
        <v>4</v>
      </c>
      <c r="AA23" s="71">
        <v>4</v>
      </c>
      <c r="AB23" s="71">
        <v>4</v>
      </c>
      <c r="AC23" s="71">
        <v>4</v>
      </c>
      <c r="AD23" s="71">
        <v>4</v>
      </c>
      <c r="AE23" s="71">
        <v>4</v>
      </c>
      <c r="AF23" s="71">
        <v>4</v>
      </c>
      <c r="AG23" s="71">
        <v>4</v>
      </c>
      <c r="AH23" s="71">
        <v>4</v>
      </c>
      <c r="AI23" s="71">
        <v>4</v>
      </c>
      <c r="AJ23" s="71">
        <v>5</v>
      </c>
      <c r="AK23" s="71"/>
      <c r="AL23" s="71"/>
      <c r="AM23" s="71"/>
      <c r="AN23" s="94"/>
      <c r="AO23" s="71">
        <v>3</v>
      </c>
      <c r="AP23" s="71">
        <v>20</v>
      </c>
      <c r="AQ23" s="71"/>
      <c r="AR23" s="71">
        <v>118</v>
      </c>
      <c r="AS23" s="79">
        <v>118094.39999999999</v>
      </c>
      <c r="AT23" s="91">
        <v>125</v>
      </c>
      <c r="AU23" s="91">
        <v>118094.39999999999</v>
      </c>
      <c r="AV23" s="213"/>
      <c r="AW23" s="214"/>
      <c r="AX23" s="211">
        <v>118094.39999999999</v>
      </c>
      <c r="AY23" s="212"/>
    </row>
    <row r="24" spans="1:51">
      <c r="A24" s="225" t="s">
        <v>1451</v>
      </c>
      <c r="B24" s="225" t="s">
        <v>1452</v>
      </c>
      <c r="C24" s="163">
        <v>65</v>
      </c>
      <c r="D24" s="182" t="s">
        <v>739</v>
      </c>
      <c r="E24" s="178" t="s">
        <v>740</v>
      </c>
      <c r="F24" s="185" t="s">
        <v>1</v>
      </c>
      <c r="G24" s="164">
        <v>29</v>
      </c>
      <c r="H24" s="165">
        <v>14568</v>
      </c>
      <c r="I24" s="165">
        <f t="shared" si="0"/>
        <v>1456.8000000000002</v>
      </c>
      <c r="J24" s="165">
        <f t="shared" si="1"/>
        <v>276.79200000000003</v>
      </c>
      <c r="K24" s="165">
        <f t="shared" si="2"/>
        <v>16301.591999999999</v>
      </c>
      <c r="L24" s="165">
        <v>1545</v>
      </c>
      <c r="M24" s="166">
        <v>0.2</v>
      </c>
      <c r="N24" s="167">
        <v>0.91515650741350907</v>
      </c>
      <c r="O24" s="165">
        <v>1236</v>
      </c>
      <c r="P24" s="165">
        <f t="shared" si="3"/>
        <v>123.60000000000001</v>
      </c>
      <c r="Q24" s="165">
        <f t="shared" si="4"/>
        <v>23.484000000000002</v>
      </c>
      <c r="R24" s="165">
        <f t="shared" si="5"/>
        <v>1383.0839999999998</v>
      </c>
      <c r="S24" s="71">
        <v>20</v>
      </c>
      <c r="T24" s="71">
        <v>2</v>
      </c>
      <c r="U24" s="91">
        <v>2</v>
      </c>
      <c r="V24" s="71"/>
      <c r="W24" s="71">
        <v>2</v>
      </c>
      <c r="X24" s="71">
        <v>2</v>
      </c>
      <c r="Y24" s="71">
        <v>2</v>
      </c>
      <c r="Z24" s="71">
        <v>2</v>
      </c>
      <c r="AA24" s="71">
        <v>2</v>
      </c>
      <c r="AB24" s="71">
        <v>2</v>
      </c>
      <c r="AC24" s="71">
        <v>2</v>
      </c>
      <c r="AD24" s="71">
        <v>2</v>
      </c>
      <c r="AE24" s="71">
        <v>2</v>
      </c>
      <c r="AF24" s="71">
        <v>2</v>
      </c>
      <c r="AG24" s="71">
        <v>2</v>
      </c>
      <c r="AH24" s="71">
        <v>2</v>
      </c>
      <c r="AI24" s="71">
        <v>2</v>
      </c>
      <c r="AJ24" s="71"/>
      <c r="AK24" s="71"/>
      <c r="AL24" s="71"/>
      <c r="AM24" s="71"/>
      <c r="AN24" s="94"/>
      <c r="AO24" s="71"/>
      <c r="AP24" s="71">
        <v>6</v>
      </c>
      <c r="AQ24" s="71"/>
      <c r="AR24" s="71">
        <v>56</v>
      </c>
      <c r="AS24" s="79">
        <v>69216</v>
      </c>
      <c r="AT24" s="91">
        <v>29</v>
      </c>
      <c r="AU24" s="91">
        <v>35844</v>
      </c>
      <c r="AV24" s="213">
        <v>27</v>
      </c>
      <c r="AW24" s="215">
        <v>393336</v>
      </c>
      <c r="AX24" s="211">
        <v>429180</v>
      </c>
      <c r="AY24" s="212"/>
    </row>
    <row r="25" spans="1:51">
      <c r="A25" s="225" t="s">
        <v>1451</v>
      </c>
      <c r="B25" s="225" t="s">
        <v>1452</v>
      </c>
      <c r="C25" s="163">
        <v>66</v>
      </c>
      <c r="D25" s="182" t="s">
        <v>741</v>
      </c>
      <c r="E25" s="177" t="s">
        <v>742</v>
      </c>
      <c r="F25" s="185" t="s">
        <v>1</v>
      </c>
      <c r="G25" s="164">
        <v>26</v>
      </c>
      <c r="H25" s="165">
        <v>5824</v>
      </c>
      <c r="I25" s="165">
        <f t="shared" si="0"/>
        <v>582.4</v>
      </c>
      <c r="J25" s="165">
        <f t="shared" si="1"/>
        <v>110.65599999999999</v>
      </c>
      <c r="K25" s="165">
        <f t="shared" si="2"/>
        <v>6517.0559999999996</v>
      </c>
      <c r="L25" s="165">
        <v>1545</v>
      </c>
      <c r="M25" s="166">
        <v>0.2</v>
      </c>
      <c r="N25" s="167">
        <v>0.78777472527472525</v>
      </c>
      <c r="O25" s="165">
        <v>1236</v>
      </c>
      <c r="P25" s="165">
        <f t="shared" si="3"/>
        <v>123.60000000000001</v>
      </c>
      <c r="Q25" s="165">
        <f t="shared" si="4"/>
        <v>23.484000000000002</v>
      </c>
      <c r="R25" s="165">
        <f t="shared" si="5"/>
        <v>1383.0839999999998</v>
      </c>
      <c r="S25" s="71"/>
      <c r="T25" s="71"/>
      <c r="U25" s="91"/>
      <c r="V25" s="71"/>
      <c r="W25" s="71"/>
      <c r="X25" s="71"/>
      <c r="Y25" s="71"/>
      <c r="Z25" s="71"/>
      <c r="AA25" s="71"/>
      <c r="AB25" s="71"/>
      <c r="AC25" s="71"/>
      <c r="AD25" s="71"/>
      <c r="AE25" s="71"/>
      <c r="AF25" s="71"/>
      <c r="AG25" s="71"/>
      <c r="AH25" s="71"/>
      <c r="AI25" s="71"/>
      <c r="AJ25" s="71"/>
      <c r="AK25" s="71"/>
      <c r="AL25" s="71"/>
      <c r="AM25" s="71">
        <v>4</v>
      </c>
      <c r="AN25" s="94"/>
      <c r="AO25" s="71"/>
      <c r="AP25" s="71">
        <v>10</v>
      </c>
      <c r="AQ25" s="71">
        <v>3</v>
      </c>
      <c r="AR25" s="71">
        <v>17</v>
      </c>
      <c r="AS25" s="79">
        <v>21012</v>
      </c>
      <c r="AT25" s="91">
        <v>26</v>
      </c>
      <c r="AU25" s="91">
        <v>21012</v>
      </c>
      <c r="AV25" s="213"/>
      <c r="AW25" s="214"/>
      <c r="AX25" s="211">
        <v>21012</v>
      </c>
      <c r="AY25" s="212"/>
    </row>
    <row r="26" spans="1:51">
      <c r="A26" s="225" t="s">
        <v>1451</v>
      </c>
      <c r="B26" s="228" t="s">
        <v>1452</v>
      </c>
      <c r="C26" s="163">
        <v>67</v>
      </c>
      <c r="D26" s="182" t="s">
        <v>743</v>
      </c>
      <c r="E26" s="177" t="s">
        <v>744</v>
      </c>
      <c r="F26" s="185" t="s">
        <v>1</v>
      </c>
      <c r="G26" s="164">
        <v>9</v>
      </c>
      <c r="H26" s="165">
        <v>14725</v>
      </c>
      <c r="I26" s="165">
        <f t="shared" si="0"/>
        <v>1472.5</v>
      </c>
      <c r="J26" s="165">
        <f t="shared" si="1"/>
        <v>279.77499999999998</v>
      </c>
      <c r="K26" s="165">
        <f t="shared" si="2"/>
        <v>16477.275000000001</v>
      </c>
      <c r="L26" s="165">
        <v>1251</v>
      </c>
      <c r="M26" s="166">
        <v>0.20000000000000004</v>
      </c>
      <c r="N26" s="167">
        <v>0.93203395585738535</v>
      </c>
      <c r="O26" s="165">
        <v>1000.8</v>
      </c>
      <c r="P26" s="165">
        <f t="shared" si="3"/>
        <v>100.08</v>
      </c>
      <c r="Q26" s="165">
        <f t="shared" si="4"/>
        <v>19.0152</v>
      </c>
      <c r="R26" s="165">
        <f t="shared" si="5"/>
        <v>1119.8951999999999</v>
      </c>
      <c r="S26" s="77">
        <v>5</v>
      </c>
      <c r="T26" s="71"/>
      <c r="U26" s="91"/>
      <c r="V26" s="71"/>
      <c r="W26" s="71"/>
      <c r="X26" s="71"/>
      <c r="Y26" s="71"/>
      <c r="Z26" s="71"/>
      <c r="AA26" s="71"/>
      <c r="AB26" s="71"/>
      <c r="AC26" s="71"/>
      <c r="AD26" s="71"/>
      <c r="AE26" s="71"/>
      <c r="AF26" s="71"/>
      <c r="AG26" s="71"/>
      <c r="AH26" s="71"/>
      <c r="AI26" s="71"/>
      <c r="AJ26" s="71"/>
      <c r="AK26" s="71"/>
      <c r="AL26" s="71"/>
      <c r="AM26" s="71"/>
      <c r="AN26" s="94"/>
      <c r="AO26" s="71"/>
      <c r="AP26" s="71"/>
      <c r="AQ26" s="71"/>
      <c r="AR26" s="77">
        <v>5</v>
      </c>
      <c r="AS26" s="79">
        <v>5004</v>
      </c>
      <c r="AT26" s="91">
        <v>9</v>
      </c>
      <c r="AU26" s="91">
        <v>5004</v>
      </c>
      <c r="AV26" s="213"/>
      <c r="AW26" s="214"/>
      <c r="AX26" s="211">
        <v>5004</v>
      </c>
      <c r="AY26" s="212"/>
    </row>
    <row r="27" spans="1:51">
      <c r="A27" s="225" t="s">
        <v>1451</v>
      </c>
      <c r="B27" s="228" t="s">
        <v>1452</v>
      </c>
      <c r="C27" s="163">
        <v>68</v>
      </c>
      <c r="D27" s="182" t="s">
        <v>745</v>
      </c>
      <c r="E27" s="177" t="s">
        <v>746</v>
      </c>
      <c r="F27" s="185" t="s">
        <v>1</v>
      </c>
      <c r="G27" s="164">
        <v>2</v>
      </c>
      <c r="H27" s="165">
        <v>18310</v>
      </c>
      <c r="I27" s="165">
        <f t="shared" si="0"/>
        <v>1831</v>
      </c>
      <c r="J27" s="165">
        <f t="shared" si="1"/>
        <v>347.89</v>
      </c>
      <c r="K27" s="165">
        <f t="shared" si="2"/>
        <v>20488.89</v>
      </c>
      <c r="L27" s="165">
        <v>1251</v>
      </c>
      <c r="M27" s="166">
        <v>0.20000000000000004</v>
      </c>
      <c r="N27" s="167">
        <v>0.94534134352812671</v>
      </c>
      <c r="O27" s="165">
        <v>1000.8</v>
      </c>
      <c r="P27" s="165">
        <f t="shared" si="3"/>
        <v>100.08</v>
      </c>
      <c r="Q27" s="165">
        <f t="shared" si="4"/>
        <v>19.0152</v>
      </c>
      <c r="R27" s="165">
        <f t="shared" si="5"/>
        <v>1119.8951999999999</v>
      </c>
      <c r="S27" s="71"/>
      <c r="T27" s="71"/>
      <c r="U27" s="91"/>
      <c r="V27" s="71"/>
      <c r="W27" s="71"/>
      <c r="X27" s="71"/>
      <c r="Y27" s="71"/>
      <c r="Z27" s="71"/>
      <c r="AA27" s="71"/>
      <c r="AB27" s="71"/>
      <c r="AC27" s="71"/>
      <c r="AD27" s="71"/>
      <c r="AE27" s="71"/>
      <c r="AF27" s="71"/>
      <c r="AG27" s="71"/>
      <c r="AH27" s="71"/>
      <c r="AI27" s="71"/>
      <c r="AJ27" s="71"/>
      <c r="AK27" s="71"/>
      <c r="AL27" s="71"/>
      <c r="AM27" s="71">
        <v>5</v>
      </c>
      <c r="AN27" s="94"/>
      <c r="AO27" s="71"/>
      <c r="AP27" s="71"/>
      <c r="AQ27" s="71"/>
      <c r="AR27" s="71">
        <v>5</v>
      </c>
      <c r="AS27" s="79">
        <v>5004</v>
      </c>
      <c r="AT27" s="91">
        <v>2</v>
      </c>
      <c r="AU27" s="91">
        <v>2001.6</v>
      </c>
      <c r="AV27" s="213">
        <v>3</v>
      </c>
      <c r="AW27" s="215">
        <v>54930</v>
      </c>
      <c r="AX27" s="211">
        <v>56931.6</v>
      </c>
      <c r="AY27" s="212"/>
    </row>
    <row r="28" spans="1:51">
      <c r="A28" s="225" t="s">
        <v>1451</v>
      </c>
      <c r="B28" s="228" t="s">
        <v>1452</v>
      </c>
      <c r="C28" s="163">
        <v>69</v>
      </c>
      <c r="D28" s="182" t="s">
        <v>747</v>
      </c>
      <c r="E28" s="177" t="s">
        <v>748</v>
      </c>
      <c r="F28" s="185" t="s">
        <v>1</v>
      </c>
      <c r="G28" s="164">
        <v>163</v>
      </c>
      <c r="H28" s="165">
        <v>10018</v>
      </c>
      <c r="I28" s="165">
        <f t="shared" si="0"/>
        <v>1001.8000000000001</v>
      </c>
      <c r="J28" s="165">
        <f t="shared" si="1"/>
        <v>190.34200000000001</v>
      </c>
      <c r="K28" s="165">
        <f t="shared" si="2"/>
        <v>11210.142</v>
      </c>
      <c r="L28" s="165">
        <v>1545</v>
      </c>
      <c r="M28" s="166">
        <v>0.25</v>
      </c>
      <c r="N28" s="167">
        <v>0.88433320023956874</v>
      </c>
      <c r="O28" s="165">
        <v>1158.75</v>
      </c>
      <c r="P28" s="165">
        <f t="shared" si="3"/>
        <v>115.875</v>
      </c>
      <c r="Q28" s="165">
        <f t="shared" si="4"/>
        <v>22.016249999999999</v>
      </c>
      <c r="R28" s="165">
        <f t="shared" si="5"/>
        <v>1296.6412499999999</v>
      </c>
      <c r="S28" s="71">
        <v>30</v>
      </c>
      <c r="T28" s="71">
        <v>8</v>
      </c>
      <c r="U28" s="91">
        <v>8</v>
      </c>
      <c r="V28" s="71"/>
      <c r="W28" s="71">
        <v>8</v>
      </c>
      <c r="X28" s="71">
        <v>8</v>
      </c>
      <c r="Y28" s="71">
        <v>8</v>
      </c>
      <c r="Z28" s="71">
        <v>8</v>
      </c>
      <c r="AA28" s="71">
        <v>8</v>
      </c>
      <c r="AB28" s="71">
        <v>8</v>
      </c>
      <c r="AC28" s="71">
        <v>8</v>
      </c>
      <c r="AD28" s="71">
        <v>8</v>
      </c>
      <c r="AE28" s="71">
        <v>4</v>
      </c>
      <c r="AF28" s="71">
        <v>4</v>
      </c>
      <c r="AG28" s="71">
        <v>4</v>
      </c>
      <c r="AH28" s="71">
        <v>8</v>
      </c>
      <c r="AI28" s="71">
        <v>4</v>
      </c>
      <c r="AJ28" s="71"/>
      <c r="AK28" s="71"/>
      <c r="AL28" s="71"/>
      <c r="AM28" s="71">
        <v>10</v>
      </c>
      <c r="AN28" s="94"/>
      <c r="AO28" s="71">
        <v>2</v>
      </c>
      <c r="AP28" s="71"/>
      <c r="AQ28" s="71"/>
      <c r="AR28" s="71">
        <v>146</v>
      </c>
      <c r="AS28" s="79">
        <v>169177.5</v>
      </c>
      <c r="AT28" s="91">
        <v>163</v>
      </c>
      <c r="AU28" s="91">
        <v>169177.5</v>
      </c>
      <c r="AV28" s="213"/>
      <c r="AW28" s="214"/>
      <c r="AX28" s="211">
        <v>169177.5</v>
      </c>
      <c r="AY28" s="212"/>
    </row>
    <row r="29" spans="1:51">
      <c r="A29" s="225" t="s">
        <v>1451</v>
      </c>
      <c r="B29" s="228" t="s">
        <v>1452</v>
      </c>
      <c r="C29" s="163">
        <v>70</v>
      </c>
      <c r="D29" s="182" t="s">
        <v>749</v>
      </c>
      <c r="E29" s="177" t="s">
        <v>750</v>
      </c>
      <c r="F29" s="185" t="s">
        <v>1</v>
      </c>
      <c r="G29" s="164">
        <v>100</v>
      </c>
      <c r="H29" s="165">
        <v>10136</v>
      </c>
      <c r="I29" s="165">
        <f t="shared" si="0"/>
        <v>1013.6</v>
      </c>
      <c r="J29" s="165">
        <f t="shared" si="1"/>
        <v>192.584</v>
      </c>
      <c r="K29" s="165">
        <f t="shared" si="2"/>
        <v>11342.184000000001</v>
      </c>
      <c r="L29" s="165">
        <v>1545</v>
      </c>
      <c r="M29" s="166">
        <v>0.2</v>
      </c>
      <c r="N29" s="167">
        <v>0.87805840568271509</v>
      </c>
      <c r="O29" s="165">
        <v>1236</v>
      </c>
      <c r="P29" s="165">
        <f t="shared" si="3"/>
        <v>123.60000000000001</v>
      </c>
      <c r="Q29" s="165">
        <f t="shared" si="4"/>
        <v>23.484000000000002</v>
      </c>
      <c r="R29" s="165">
        <f t="shared" si="5"/>
        <v>1383.0839999999998</v>
      </c>
      <c r="S29" s="71">
        <v>20</v>
      </c>
      <c r="T29" s="71">
        <v>8</v>
      </c>
      <c r="U29" s="91">
        <v>8</v>
      </c>
      <c r="V29" s="71"/>
      <c r="W29" s="71">
        <v>8</v>
      </c>
      <c r="X29" s="71">
        <v>8</v>
      </c>
      <c r="Y29" s="71">
        <v>8</v>
      </c>
      <c r="Z29" s="71">
        <v>8</v>
      </c>
      <c r="AA29" s="71">
        <v>8</v>
      </c>
      <c r="AB29" s="71">
        <v>8</v>
      </c>
      <c r="AC29" s="71">
        <v>8</v>
      </c>
      <c r="AD29" s="71">
        <v>8</v>
      </c>
      <c r="AE29" s="71">
        <v>4</v>
      </c>
      <c r="AF29" s="71">
        <v>4</v>
      </c>
      <c r="AG29" s="71">
        <v>4</v>
      </c>
      <c r="AH29" s="71">
        <v>8</v>
      </c>
      <c r="AI29" s="71">
        <v>4</v>
      </c>
      <c r="AJ29" s="71"/>
      <c r="AK29" s="71"/>
      <c r="AL29" s="71"/>
      <c r="AM29" s="71">
        <v>9</v>
      </c>
      <c r="AN29" s="94"/>
      <c r="AO29" s="71">
        <v>2</v>
      </c>
      <c r="AP29" s="71">
        <v>4</v>
      </c>
      <c r="AQ29" s="71"/>
      <c r="AR29" s="71">
        <v>139</v>
      </c>
      <c r="AS29" s="79">
        <v>171804</v>
      </c>
      <c r="AT29" s="91">
        <v>100</v>
      </c>
      <c r="AU29" s="91">
        <v>123600</v>
      </c>
      <c r="AV29" s="213">
        <v>39</v>
      </c>
      <c r="AW29" s="215">
        <v>395304</v>
      </c>
      <c r="AX29" s="211">
        <v>518904</v>
      </c>
      <c r="AY29" s="212"/>
    </row>
    <row r="30" spans="1:51" ht="33.75">
      <c r="A30" s="225" t="s">
        <v>1447</v>
      </c>
      <c r="B30" s="226" t="s">
        <v>1448</v>
      </c>
      <c r="C30" s="163">
        <v>72</v>
      </c>
      <c r="D30" s="182" t="s">
        <v>753</v>
      </c>
      <c r="E30" s="177" t="s">
        <v>754</v>
      </c>
      <c r="F30" s="185" t="s">
        <v>755</v>
      </c>
      <c r="G30" s="164">
        <v>157</v>
      </c>
      <c r="H30" s="165">
        <v>9243</v>
      </c>
      <c r="I30" s="165">
        <f t="shared" si="0"/>
        <v>924.30000000000007</v>
      </c>
      <c r="J30" s="165">
        <f t="shared" si="1"/>
        <v>175.61700000000002</v>
      </c>
      <c r="K30" s="165">
        <f t="shared" si="2"/>
        <v>10342.916999999999</v>
      </c>
      <c r="L30" s="165">
        <v>1444</v>
      </c>
      <c r="M30" s="166">
        <v>0.25</v>
      </c>
      <c r="N30" s="167">
        <v>0.8828302499188575</v>
      </c>
      <c r="O30" s="165">
        <v>1083</v>
      </c>
      <c r="P30" s="165">
        <f t="shared" si="3"/>
        <v>108.30000000000001</v>
      </c>
      <c r="Q30" s="165">
        <f t="shared" si="4"/>
        <v>20.577000000000002</v>
      </c>
      <c r="R30" s="165">
        <f t="shared" si="5"/>
        <v>1211.877</v>
      </c>
      <c r="S30" s="71">
        <v>20</v>
      </c>
      <c r="T30" s="77">
        <v>8</v>
      </c>
      <c r="U30" s="198">
        <v>8</v>
      </c>
      <c r="V30" s="71"/>
      <c r="W30" s="77">
        <v>8</v>
      </c>
      <c r="X30" s="71">
        <v>8</v>
      </c>
      <c r="Y30" s="71">
        <v>8</v>
      </c>
      <c r="Z30" s="71">
        <v>8</v>
      </c>
      <c r="AA30" s="77">
        <v>8</v>
      </c>
      <c r="AB30" s="77">
        <v>8</v>
      </c>
      <c r="AC30" s="77">
        <v>8</v>
      </c>
      <c r="AD30" s="77">
        <v>8</v>
      </c>
      <c r="AE30" s="77">
        <v>4</v>
      </c>
      <c r="AF30" s="77">
        <v>4</v>
      </c>
      <c r="AG30" s="77">
        <v>4</v>
      </c>
      <c r="AH30" s="94" t="s">
        <v>1412</v>
      </c>
      <c r="AI30" s="71">
        <v>4</v>
      </c>
      <c r="AJ30" s="94" t="s">
        <v>1410</v>
      </c>
      <c r="AK30" s="71"/>
      <c r="AL30" s="94" t="s">
        <v>1413</v>
      </c>
      <c r="AM30" s="71">
        <v>5</v>
      </c>
      <c r="AN30" s="94"/>
      <c r="AO30" s="71">
        <v>5</v>
      </c>
      <c r="AP30" s="94" t="s">
        <v>1394</v>
      </c>
      <c r="AQ30" s="71">
        <v>3</v>
      </c>
      <c r="AR30" s="94">
        <v>129</v>
      </c>
      <c r="AS30" s="79">
        <v>139707</v>
      </c>
      <c r="AT30" s="91">
        <v>157</v>
      </c>
      <c r="AU30" s="91">
        <v>139707</v>
      </c>
      <c r="AV30" s="213"/>
      <c r="AW30" s="214"/>
      <c r="AX30" s="211">
        <v>139707</v>
      </c>
      <c r="AY30" s="212"/>
    </row>
    <row r="31" spans="1:51" ht="33.75">
      <c r="A31" s="225" t="s">
        <v>1447</v>
      </c>
      <c r="B31" s="226" t="s">
        <v>1448</v>
      </c>
      <c r="C31" s="163">
        <v>73</v>
      </c>
      <c r="D31" s="182" t="s">
        <v>756</v>
      </c>
      <c r="E31" s="177" t="s">
        <v>757</v>
      </c>
      <c r="F31" s="185" t="s">
        <v>758</v>
      </c>
      <c r="G31" s="164">
        <v>88</v>
      </c>
      <c r="H31" s="165">
        <v>24261</v>
      </c>
      <c r="I31" s="165">
        <f t="shared" si="0"/>
        <v>2426.1</v>
      </c>
      <c r="J31" s="165">
        <f t="shared" si="1"/>
        <v>460.959</v>
      </c>
      <c r="K31" s="165">
        <f t="shared" si="2"/>
        <v>27148.058999999997</v>
      </c>
      <c r="L31" s="165">
        <v>1237</v>
      </c>
      <c r="M31" s="166">
        <v>0.19999999999999998</v>
      </c>
      <c r="N31" s="167">
        <v>0.95921025514199743</v>
      </c>
      <c r="O31" s="165">
        <v>989.6</v>
      </c>
      <c r="P31" s="165">
        <f t="shared" si="3"/>
        <v>98.960000000000008</v>
      </c>
      <c r="Q31" s="165">
        <f t="shared" si="4"/>
        <v>18.802400000000002</v>
      </c>
      <c r="R31" s="165">
        <f t="shared" si="5"/>
        <v>1107.3624</v>
      </c>
      <c r="S31" s="71">
        <v>15</v>
      </c>
      <c r="T31" s="71"/>
      <c r="U31" s="91"/>
      <c r="V31" s="71"/>
      <c r="W31" s="71"/>
      <c r="X31" s="71"/>
      <c r="Y31" s="71"/>
      <c r="Z31" s="71"/>
      <c r="AA31" s="71"/>
      <c r="AB31" s="71"/>
      <c r="AC31" s="71"/>
      <c r="AD31" s="71"/>
      <c r="AE31" s="71"/>
      <c r="AF31" s="71"/>
      <c r="AG31" s="71"/>
      <c r="AH31" s="71"/>
      <c r="AI31" s="71"/>
      <c r="AJ31" s="71"/>
      <c r="AK31" s="71"/>
      <c r="AL31" s="71"/>
      <c r="AM31" s="71">
        <v>5</v>
      </c>
      <c r="AN31" s="94"/>
      <c r="AO31" s="71"/>
      <c r="AP31" s="71">
        <v>5</v>
      </c>
      <c r="AQ31" s="71">
        <v>3</v>
      </c>
      <c r="AR31" s="71">
        <v>28</v>
      </c>
      <c r="AS31" s="79">
        <v>27708.799999999999</v>
      </c>
      <c r="AT31" s="91">
        <v>88</v>
      </c>
      <c r="AU31" s="91">
        <v>27708.799999999999</v>
      </c>
      <c r="AV31" s="213"/>
      <c r="AW31" s="214"/>
      <c r="AX31" s="211">
        <v>27708.799999999999</v>
      </c>
      <c r="AY31" s="212"/>
    </row>
    <row r="32" spans="1:51" ht="22.5">
      <c r="A32" s="225" t="s">
        <v>1509</v>
      </c>
      <c r="B32" s="227" t="s">
        <v>1510</v>
      </c>
      <c r="C32" s="163">
        <v>75</v>
      </c>
      <c r="D32" s="182" t="s">
        <v>762</v>
      </c>
      <c r="E32" s="177" t="s">
        <v>763</v>
      </c>
      <c r="F32" s="185" t="s">
        <v>1</v>
      </c>
      <c r="G32" s="164">
        <v>147</v>
      </c>
      <c r="H32" s="165">
        <v>1116</v>
      </c>
      <c r="I32" s="165">
        <f t="shared" si="0"/>
        <v>111.60000000000001</v>
      </c>
      <c r="J32" s="165">
        <f t="shared" si="1"/>
        <v>21.204000000000001</v>
      </c>
      <c r="K32" s="165">
        <f t="shared" si="2"/>
        <v>1248.8039999999999</v>
      </c>
      <c r="L32" s="165">
        <v>649</v>
      </c>
      <c r="M32" s="166">
        <v>0.19999999999999993</v>
      </c>
      <c r="N32" s="167">
        <v>0.53476702508960572</v>
      </c>
      <c r="O32" s="165">
        <v>519.20000000000005</v>
      </c>
      <c r="P32" s="165">
        <f t="shared" si="3"/>
        <v>51.920000000000009</v>
      </c>
      <c r="Q32" s="165">
        <f t="shared" si="4"/>
        <v>9.8648000000000025</v>
      </c>
      <c r="R32" s="165">
        <f t="shared" si="5"/>
        <v>580.98479999999995</v>
      </c>
      <c r="S32" s="71">
        <v>20</v>
      </c>
      <c r="T32" s="71">
        <v>8</v>
      </c>
      <c r="U32" s="91">
        <v>8</v>
      </c>
      <c r="V32" s="71"/>
      <c r="W32" s="71">
        <v>8</v>
      </c>
      <c r="X32" s="71">
        <v>8</v>
      </c>
      <c r="Y32" s="71">
        <v>8</v>
      </c>
      <c r="Z32" s="71">
        <v>8</v>
      </c>
      <c r="AA32" s="71">
        <v>8</v>
      </c>
      <c r="AB32" s="71">
        <v>8</v>
      </c>
      <c r="AC32" s="71">
        <v>8</v>
      </c>
      <c r="AD32" s="71">
        <v>8</v>
      </c>
      <c r="AE32" s="71">
        <v>4</v>
      </c>
      <c r="AF32" s="71">
        <v>4</v>
      </c>
      <c r="AG32" s="71">
        <v>4</v>
      </c>
      <c r="AH32" s="71">
        <v>8</v>
      </c>
      <c r="AI32" s="71">
        <v>4</v>
      </c>
      <c r="AJ32" s="71">
        <v>10</v>
      </c>
      <c r="AK32" s="71">
        <v>10</v>
      </c>
      <c r="AL32" s="71">
        <v>10</v>
      </c>
      <c r="AM32" s="71">
        <v>4</v>
      </c>
      <c r="AN32" s="94"/>
      <c r="AO32" s="71">
        <v>5</v>
      </c>
      <c r="AP32" s="71">
        <v>6</v>
      </c>
      <c r="AQ32" s="71"/>
      <c r="AR32" s="71">
        <v>169</v>
      </c>
      <c r="AS32" s="79">
        <v>87744.8</v>
      </c>
      <c r="AT32" s="91">
        <v>147</v>
      </c>
      <c r="AU32" s="91">
        <v>76322.400000000009</v>
      </c>
      <c r="AV32" s="213">
        <v>22</v>
      </c>
      <c r="AW32" s="215">
        <v>24552</v>
      </c>
      <c r="AX32" s="211">
        <v>100874.40000000001</v>
      </c>
      <c r="AY32" s="212"/>
    </row>
    <row r="33" spans="1:51" ht="22.5">
      <c r="A33" s="225" t="s">
        <v>1509</v>
      </c>
      <c r="B33" s="227" t="s">
        <v>1510</v>
      </c>
      <c r="C33" s="163">
        <v>76</v>
      </c>
      <c r="D33" s="182" t="s">
        <v>764</v>
      </c>
      <c r="E33" s="177" t="s">
        <v>765</v>
      </c>
      <c r="F33" s="185" t="s">
        <v>1</v>
      </c>
      <c r="G33" s="164">
        <v>94</v>
      </c>
      <c r="H33" s="165">
        <v>734</v>
      </c>
      <c r="I33" s="165">
        <f t="shared" si="0"/>
        <v>73.400000000000006</v>
      </c>
      <c r="J33" s="165">
        <f t="shared" si="1"/>
        <v>13.946000000000002</v>
      </c>
      <c r="K33" s="165">
        <f t="shared" si="2"/>
        <v>821.346</v>
      </c>
      <c r="L33" s="165">
        <v>272</v>
      </c>
      <c r="M33" s="166">
        <v>0.2</v>
      </c>
      <c r="N33" s="167">
        <v>0.70354223433242513</v>
      </c>
      <c r="O33" s="165">
        <v>217.6</v>
      </c>
      <c r="P33" s="165">
        <f t="shared" si="3"/>
        <v>21.76</v>
      </c>
      <c r="Q33" s="165">
        <f t="shared" si="4"/>
        <v>4.1344000000000003</v>
      </c>
      <c r="R33" s="165">
        <f t="shared" si="5"/>
        <v>243.49439999999998</v>
      </c>
      <c r="S33" s="71">
        <v>30</v>
      </c>
      <c r="T33" s="71">
        <v>2</v>
      </c>
      <c r="U33" s="91">
        <v>2</v>
      </c>
      <c r="V33" s="71"/>
      <c r="W33" s="71">
        <v>2</v>
      </c>
      <c r="X33" s="71">
        <v>2</v>
      </c>
      <c r="Y33" s="71">
        <v>2</v>
      </c>
      <c r="Z33" s="71">
        <v>2</v>
      </c>
      <c r="AA33" s="71">
        <v>2</v>
      </c>
      <c r="AB33" s="71">
        <v>2</v>
      </c>
      <c r="AC33" s="71">
        <v>2</v>
      </c>
      <c r="AD33" s="71">
        <v>2</v>
      </c>
      <c r="AE33" s="71">
        <v>2</v>
      </c>
      <c r="AF33" s="71">
        <v>2</v>
      </c>
      <c r="AG33" s="71">
        <v>2</v>
      </c>
      <c r="AH33" s="71">
        <v>2</v>
      </c>
      <c r="AI33" s="71">
        <v>2</v>
      </c>
      <c r="AJ33" s="71"/>
      <c r="AK33" s="71"/>
      <c r="AL33" s="71">
        <v>10</v>
      </c>
      <c r="AM33" s="71">
        <v>13</v>
      </c>
      <c r="AN33" s="94"/>
      <c r="AO33" s="71">
        <v>10</v>
      </c>
      <c r="AP33" s="71">
        <v>8</v>
      </c>
      <c r="AQ33" s="71">
        <v>4</v>
      </c>
      <c r="AR33" s="71">
        <v>105</v>
      </c>
      <c r="AS33" s="79">
        <v>22848</v>
      </c>
      <c r="AT33" s="91">
        <v>94</v>
      </c>
      <c r="AU33" s="91">
        <v>20454.399999999998</v>
      </c>
      <c r="AV33" s="213">
        <v>11</v>
      </c>
      <c r="AW33" s="215">
        <v>8074</v>
      </c>
      <c r="AX33" s="211">
        <v>28528.399999999998</v>
      </c>
      <c r="AY33" s="212"/>
    </row>
    <row r="34" spans="1:51" ht="22.5">
      <c r="A34" s="225" t="s">
        <v>1509</v>
      </c>
      <c r="B34" s="227" t="s">
        <v>1510</v>
      </c>
      <c r="C34" s="163">
        <v>77</v>
      </c>
      <c r="D34" s="182" t="s">
        <v>766</v>
      </c>
      <c r="E34" s="177" t="s">
        <v>767</v>
      </c>
      <c r="F34" s="185" t="s">
        <v>1</v>
      </c>
      <c r="G34" s="164">
        <v>131</v>
      </c>
      <c r="H34" s="165">
        <v>433</v>
      </c>
      <c r="I34" s="165">
        <f t="shared" si="0"/>
        <v>43.300000000000004</v>
      </c>
      <c r="J34" s="165">
        <f t="shared" si="1"/>
        <v>8.2270000000000003</v>
      </c>
      <c r="K34" s="165">
        <f t="shared" si="2"/>
        <v>484.52699999999999</v>
      </c>
      <c r="L34" s="165">
        <v>272</v>
      </c>
      <c r="M34" s="166">
        <v>0.2</v>
      </c>
      <c r="N34" s="167">
        <v>0.49745958429561199</v>
      </c>
      <c r="O34" s="165">
        <v>217.6</v>
      </c>
      <c r="P34" s="165">
        <f t="shared" si="3"/>
        <v>21.76</v>
      </c>
      <c r="Q34" s="165">
        <f t="shared" si="4"/>
        <v>4.1344000000000003</v>
      </c>
      <c r="R34" s="165">
        <f t="shared" si="5"/>
        <v>243.49439999999998</v>
      </c>
      <c r="S34" s="71">
        <v>30</v>
      </c>
      <c r="T34" s="71">
        <v>8</v>
      </c>
      <c r="U34" s="91">
        <v>8</v>
      </c>
      <c r="V34" s="71"/>
      <c r="W34" s="71">
        <v>8</v>
      </c>
      <c r="X34" s="71">
        <v>8</v>
      </c>
      <c r="Y34" s="71">
        <v>8</v>
      </c>
      <c r="Z34" s="71">
        <v>8</v>
      </c>
      <c r="AA34" s="71">
        <v>8</v>
      </c>
      <c r="AB34" s="77">
        <v>2</v>
      </c>
      <c r="AC34" s="71">
        <v>8</v>
      </c>
      <c r="AD34" s="71">
        <v>8</v>
      </c>
      <c r="AE34" s="71">
        <v>4</v>
      </c>
      <c r="AF34" s="71">
        <v>4</v>
      </c>
      <c r="AG34" s="71">
        <v>4</v>
      </c>
      <c r="AH34" s="71">
        <v>8</v>
      </c>
      <c r="AI34" s="71">
        <v>4</v>
      </c>
      <c r="AJ34" s="71"/>
      <c r="AK34" s="71">
        <v>20</v>
      </c>
      <c r="AL34" s="71"/>
      <c r="AM34" s="71">
        <v>6</v>
      </c>
      <c r="AN34" s="94"/>
      <c r="AO34" s="71">
        <v>10</v>
      </c>
      <c r="AP34" s="71">
        <v>10</v>
      </c>
      <c r="AQ34" s="71"/>
      <c r="AR34" s="77">
        <v>174</v>
      </c>
      <c r="AS34" s="79">
        <v>37862.400000000001</v>
      </c>
      <c r="AT34" s="91">
        <v>131</v>
      </c>
      <c r="AU34" s="91">
        <v>28505.599999999999</v>
      </c>
      <c r="AV34" s="213">
        <v>43</v>
      </c>
      <c r="AW34" s="215">
        <v>18619</v>
      </c>
      <c r="AX34" s="211">
        <v>47124.6</v>
      </c>
      <c r="AY34" s="212"/>
    </row>
    <row r="35" spans="1:51" ht="22.5">
      <c r="A35" s="225" t="s">
        <v>1509</v>
      </c>
      <c r="B35" s="227" t="s">
        <v>1510</v>
      </c>
      <c r="C35" s="163">
        <v>78</v>
      </c>
      <c r="D35" s="178" t="s">
        <v>768</v>
      </c>
      <c r="E35" s="177" t="s">
        <v>769</v>
      </c>
      <c r="F35" s="185" t="s">
        <v>755</v>
      </c>
      <c r="G35" s="164">
        <v>141</v>
      </c>
      <c r="H35" s="165">
        <v>1676</v>
      </c>
      <c r="I35" s="165">
        <f t="shared" si="0"/>
        <v>167.60000000000002</v>
      </c>
      <c r="J35" s="165">
        <f t="shared" si="1"/>
        <v>31.844000000000005</v>
      </c>
      <c r="K35" s="165">
        <f t="shared" si="2"/>
        <v>1875.444</v>
      </c>
      <c r="L35" s="165">
        <v>228</v>
      </c>
      <c r="M35" s="166">
        <v>0.19999999999999998</v>
      </c>
      <c r="N35" s="167">
        <v>0.89116945107398571</v>
      </c>
      <c r="O35" s="165">
        <v>182.4</v>
      </c>
      <c r="P35" s="165">
        <f t="shared" si="3"/>
        <v>18.240000000000002</v>
      </c>
      <c r="Q35" s="165">
        <f t="shared" si="4"/>
        <v>3.4656000000000002</v>
      </c>
      <c r="R35" s="165">
        <f t="shared" si="5"/>
        <v>204.10560000000001</v>
      </c>
      <c r="S35" s="71">
        <v>20</v>
      </c>
      <c r="T35" s="71">
        <v>8</v>
      </c>
      <c r="U35" s="91">
        <v>8</v>
      </c>
      <c r="V35" s="71"/>
      <c r="W35" s="71">
        <v>8</v>
      </c>
      <c r="X35" s="71">
        <v>8</v>
      </c>
      <c r="Y35" s="71">
        <v>8</v>
      </c>
      <c r="Z35" s="71">
        <v>8</v>
      </c>
      <c r="AA35" s="71">
        <v>8</v>
      </c>
      <c r="AB35" s="71">
        <v>8</v>
      </c>
      <c r="AC35" s="71">
        <v>8</v>
      </c>
      <c r="AD35" s="71">
        <v>8</v>
      </c>
      <c r="AE35" s="71">
        <v>4</v>
      </c>
      <c r="AF35" s="71">
        <v>4</v>
      </c>
      <c r="AG35" s="71">
        <v>4</v>
      </c>
      <c r="AH35" s="71">
        <v>8</v>
      </c>
      <c r="AI35" s="71">
        <v>4</v>
      </c>
      <c r="AJ35" s="71">
        <v>10</v>
      </c>
      <c r="AK35" s="71"/>
      <c r="AL35" s="71">
        <v>10</v>
      </c>
      <c r="AM35" s="71">
        <v>6</v>
      </c>
      <c r="AN35" s="94"/>
      <c r="AO35" s="71">
        <v>5</v>
      </c>
      <c r="AP35" s="71"/>
      <c r="AQ35" s="71">
        <v>3</v>
      </c>
      <c r="AR35" s="71">
        <v>158</v>
      </c>
      <c r="AS35" s="79">
        <v>28819.200000000001</v>
      </c>
      <c r="AT35" s="91">
        <v>141</v>
      </c>
      <c r="AU35" s="91">
        <v>25718.400000000001</v>
      </c>
      <c r="AV35" s="213">
        <v>17</v>
      </c>
      <c r="AW35" s="215">
        <v>28492</v>
      </c>
      <c r="AX35" s="211">
        <v>54210.400000000001</v>
      </c>
      <c r="AY35" s="212"/>
    </row>
    <row r="36" spans="1:51" ht="22.5">
      <c r="A36" s="225" t="s">
        <v>1509</v>
      </c>
      <c r="B36" s="227" t="s">
        <v>1510</v>
      </c>
      <c r="C36" s="163">
        <v>79</v>
      </c>
      <c r="D36" s="178" t="s">
        <v>770</v>
      </c>
      <c r="E36" s="177" t="s">
        <v>771</v>
      </c>
      <c r="F36" s="185" t="s">
        <v>1</v>
      </c>
      <c r="G36" s="164">
        <v>99</v>
      </c>
      <c r="H36" s="165">
        <v>471</v>
      </c>
      <c r="I36" s="165">
        <f t="shared" si="0"/>
        <v>47.1</v>
      </c>
      <c r="J36" s="165">
        <f t="shared" si="1"/>
        <v>8.9489999999999998</v>
      </c>
      <c r="K36" s="165">
        <f t="shared" si="2"/>
        <v>527.04899999999998</v>
      </c>
      <c r="L36" s="165">
        <v>209</v>
      </c>
      <c r="M36" s="166">
        <v>0.20000000000000007</v>
      </c>
      <c r="N36" s="167">
        <v>0.64501061571125273</v>
      </c>
      <c r="O36" s="165">
        <v>167.2</v>
      </c>
      <c r="P36" s="165">
        <f t="shared" si="3"/>
        <v>16.72</v>
      </c>
      <c r="Q36" s="165">
        <f t="shared" si="4"/>
        <v>3.1767999999999996</v>
      </c>
      <c r="R36" s="165">
        <f t="shared" si="5"/>
        <v>187.09679999999997</v>
      </c>
      <c r="S36" s="71">
        <v>20</v>
      </c>
      <c r="T36" s="71">
        <v>2</v>
      </c>
      <c r="U36" s="91">
        <v>2</v>
      </c>
      <c r="V36" s="71"/>
      <c r="W36" s="71">
        <v>2</v>
      </c>
      <c r="X36" s="71">
        <v>2</v>
      </c>
      <c r="Y36" s="71">
        <v>2</v>
      </c>
      <c r="Z36" s="71">
        <v>2</v>
      </c>
      <c r="AA36" s="71">
        <v>2</v>
      </c>
      <c r="AB36" s="71">
        <v>2</v>
      </c>
      <c r="AC36" s="71">
        <v>2</v>
      </c>
      <c r="AD36" s="71"/>
      <c r="AE36" s="71">
        <v>2</v>
      </c>
      <c r="AF36" s="71">
        <v>2</v>
      </c>
      <c r="AG36" s="71">
        <v>2</v>
      </c>
      <c r="AH36" s="71">
        <v>2</v>
      </c>
      <c r="AI36" s="71">
        <v>2</v>
      </c>
      <c r="AJ36" s="71"/>
      <c r="AK36" s="71"/>
      <c r="AL36" s="71"/>
      <c r="AM36" s="71">
        <v>6</v>
      </c>
      <c r="AN36" s="94"/>
      <c r="AO36" s="71"/>
      <c r="AP36" s="71"/>
      <c r="AQ36" s="71"/>
      <c r="AR36" s="71">
        <v>54</v>
      </c>
      <c r="AS36" s="79">
        <v>9028.7999999999993</v>
      </c>
      <c r="AT36" s="91">
        <v>99</v>
      </c>
      <c r="AU36" s="91">
        <v>9028.7999999999993</v>
      </c>
      <c r="AV36" s="213"/>
      <c r="AW36" s="214"/>
      <c r="AX36" s="211">
        <v>9028.7999999999993</v>
      </c>
      <c r="AY36" s="212"/>
    </row>
    <row r="37" spans="1:51">
      <c r="A37" s="225" t="s">
        <v>1505</v>
      </c>
      <c r="B37" s="226" t="s">
        <v>1506</v>
      </c>
      <c r="C37" s="163">
        <v>82</v>
      </c>
      <c r="D37" s="182" t="s">
        <v>776</v>
      </c>
      <c r="E37" s="177" t="s">
        <v>777</v>
      </c>
      <c r="F37" s="185" t="s">
        <v>1</v>
      </c>
      <c r="G37" s="164">
        <v>99</v>
      </c>
      <c r="H37" s="165">
        <v>4330</v>
      </c>
      <c r="I37" s="165">
        <f t="shared" si="0"/>
        <v>433</v>
      </c>
      <c r="J37" s="165">
        <f t="shared" si="1"/>
        <v>82.27</v>
      </c>
      <c r="K37" s="165">
        <f t="shared" si="2"/>
        <v>4845.2700000000004</v>
      </c>
      <c r="L37" s="165">
        <v>2180</v>
      </c>
      <c r="M37" s="166">
        <v>0.25</v>
      </c>
      <c r="N37" s="167">
        <v>0.62240184757505768</v>
      </c>
      <c r="O37" s="165">
        <v>1635</v>
      </c>
      <c r="P37" s="165">
        <f t="shared" si="3"/>
        <v>163.5</v>
      </c>
      <c r="Q37" s="165">
        <f t="shared" si="4"/>
        <v>31.065000000000001</v>
      </c>
      <c r="R37" s="165">
        <f t="shared" si="5"/>
        <v>1829.5650000000001</v>
      </c>
      <c r="S37" s="71">
        <v>20</v>
      </c>
      <c r="T37" s="71">
        <v>8</v>
      </c>
      <c r="U37" s="91">
        <v>8</v>
      </c>
      <c r="V37" s="71"/>
      <c r="W37" s="71">
        <v>8</v>
      </c>
      <c r="X37" s="71">
        <v>8</v>
      </c>
      <c r="Y37" s="71">
        <v>8</v>
      </c>
      <c r="Z37" s="71">
        <v>8</v>
      </c>
      <c r="AA37" s="71">
        <v>8</v>
      </c>
      <c r="AB37" s="71">
        <v>8</v>
      </c>
      <c r="AC37" s="71">
        <v>8</v>
      </c>
      <c r="AD37" s="71"/>
      <c r="AE37" s="71">
        <v>4</v>
      </c>
      <c r="AF37" s="71">
        <v>4</v>
      </c>
      <c r="AG37" s="71">
        <v>4</v>
      </c>
      <c r="AH37" s="71">
        <v>8</v>
      </c>
      <c r="AI37" s="71">
        <v>4</v>
      </c>
      <c r="AJ37" s="71">
        <v>5</v>
      </c>
      <c r="AK37" s="71"/>
      <c r="AL37" s="71"/>
      <c r="AM37" s="71">
        <v>12</v>
      </c>
      <c r="AN37" s="94"/>
      <c r="AO37" s="71"/>
      <c r="AP37" s="71">
        <v>5</v>
      </c>
      <c r="AQ37" s="71">
        <v>2</v>
      </c>
      <c r="AR37" s="71">
        <v>140</v>
      </c>
      <c r="AS37" s="79">
        <v>228900</v>
      </c>
      <c r="AT37" s="91">
        <v>99</v>
      </c>
      <c r="AU37" s="91">
        <v>161865</v>
      </c>
      <c r="AV37" s="213">
        <v>41</v>
      </c>
      <c r="AW37" s="215">
        <v>177530</v>
      </c>
      <c r="AX37" s="211">
        <v>339395</v>
      </c>
      <c r="AY37" s="212"/>
    </row>
    <row r="38" spans="1:51">
      <c r="A38" s="225" t="s">
        <v>1505</v>
      </c>
      <c r="B38" s="226" t="s">
        <v>1506</v>
      </c>
      <c r="C38" s="163">
        <v>83</v>
      </c>
      <c r="D38" s="182" t="s">
        <v>778</v>
      </c>
      <c r="E38" s="177"/>
      <c r="F38" s="185"/>
      <c r="G38" s="164"/>
      <c r="H38" s="165"/>
      <c r="I38" s="165">
        <f t="shared" si="0"/>
        <v>0</v>
      </c>
      <c r="J38" s="165">
        <f t="shared" si="1"/>
        <v>0</v>
      </c>
      <c r="K38" s="165">
        <f t="shared" si="2"/>
        <v>0</v>
      </c>
      <c r="L38" s="165"/>
      <c r="M38" s="166"/>
      <c r="N38" s="167"/>
      <c r="O38" s="165"/>
      <c r="P38" s="165">
        <f t="shared" si="3"/>
        <v>0</v>
      </c>
      <c r="Q38" s="165">
        <f t="shared" si="4"/>
        <v>0</v>
      </c>
      <c r="R38" s="165">
        <f t="shared" si="5"/>
        <v>0</v>
      </c>
      <c r="S38" s="71"/>
      <c r="T38" s="71"/>
      <c r="U38" s="91"/>
      <c r="V38" s="71"/>
      <c r="W38" s="71"/>
      <c r="X38" s="71"/>
      <c r="Y38" s="71"/>
      <c r="Z38" s="71"/>
      <c r="AA38" s="71"/>
      <c r="AB38" s="71"/>
      <c r="AC38" s="71"/>
      <c r="AD38" s="71"/>
      <c r="AE38" s="71"/>
      <c r="AF38" s="71"/>
      <c r="AG38" s="71"/>
      <c r="AH38" s="71"/>
      <c r="AI38" s="71"/>
      <c r="AJ38" s="71"/>
      <c r="AK38" s="71"/>
      <c r="AL38" s="71"/>
      <c r="AM38" s="71"/>
      <c r="AN38" s="94"/>
      <c r="AO38" s="71"/>
      <c r="AP38" s="71"/>
      <c r="AQ38" s="71"/>
      <c r="AR38" s="71"/>
      <c r="AS38" s="79"/>
      <c r="AT38" s="91"/>
      <c r="AU38" s="91"/>
      <c r="AV38" s="213"/>
      <c r="AW38" s="215"/>
      <c r="AX38" s="211"/>
      <c r="AY38" s="212"/>
    </row>
    <row r="39" spans="1:51">
      <c r="A39" s="225" t="s">
        <v>1505</v>
      </c>
      <c r="B39" s="226" t="s">
        <v>1506</v>
      </c>
      <c r="C39" s="163">
        <v>84</v>
      </c>
      <c r="D39" s="182" t="s">
        <v>780</v>
      </c>
      <c r="E39" s="177" t="s">
        <v>781</v>
      </c>
      <c r="F39" s="185" t="s">
        <v>1</v>
      </c>
      <c r="G39" s="164">
        <v>55</v>
      </c>
      <c r="H39" s="165">
        <v>5280</v>
      </c>
      <c r="I39" s="165">
        <f t="shared" si="0"/>
        <v>528</v>
      </c>
      <c r="J39" s="165">
        <f t="shared" si="1"/>
        <v>100.32000000000001</v>
      </c>
      <c r="K39" s="165">
        <f t="shared" si="2"/>
        <v>5908.32</v>
      </c>
      <c r="L39" s="165">
        <v>2617</v>
      </c>
      <c r="M39" s="166">
        <v>0.20000000000000004</v>
      </c>
      <c r="N39" s="167">
        <v>0.60348484848484851</v>
      </c>
      <c r="O39" s="165">
        <v>2093.6</v>
      </c>
      <c r="P39" s="165">
        <f t="shared" si="3"/>
        <v>209.36</v>
      </c>
      <c r="Q39" s="165">
        <f t="shared" si="4"/>
        <v>39.778400000000005</v>
      </c>
      <c r="R39" s="165">
        <f t="shared" si="5"/>
        <v>2342.7384000000002</v>
      </c>
      <c r="S39" s="71"/>
      <c r="T39" s="71"/>
      <c r="U39" s="91"/>
      <c r="V39" s="71"/>
      <c r="W39" s="71"/>
      <c r="X39" s="71"/>
      <c r="Y39" s="71"/>
      <c r="Z39" s="71"/>
      <c r="AA39" s="71"/>
      <c r="AB39" s="71"/>
      <c r="AC39" s="71"/>
      <c r="AD39" s="71"/>
      <c r="AE39" s="71"/>
      <c r="AF39" s="71"/>
      <c r="AG39" s="71"/>
      <c r="AH39" s="71"/>
      <c r="AI39" s="71"/>
      <c r="AJ39" s="71"/>
      <c r="AK39" s="71">
        <v>4</v>
      </c>
      <c r="AL39" s="71">
        <v>10</v>
      </c>
      <c r="AM39" s="71">
        <v>12</v>
      </c>
      <c r="AN39" s="94"/>
      <c r="AO39" s="71"/>
      <c r="AP39" s="71">
        <v>5</v>
      </c>
      <c r="AQ39" s="71"/>
      <c r="AR39" s="71">
        <v>31</v>
      </c>
      <c r="AS39" s="79">
        <v>64901.599999999999</v>
      </c>
      <c r="AT39" s="91">
        <v>55</v>
      </c>
      <c r="AU39" s="91">
        <v>64901.599999999999</v>
      </c>
      <c r="AV39" s="213"/>
      <c r="AW39" s="214"/>
      <c r="AX39" s="211">
        <v>64901.599999999999</v>
      </c>
      <c r="AY39" s="212"/>
    </row>
    <row r="40" spans="1:51">
      <c r="A40" s="225" t="s">
        <v>1505</v>
      </c>
      <c r="B40" s="226" t="s">
        <v>1506</v>
      </c>
      <c r="C40" s="163">
        <v>85</v>
      </c>
      <c r="D40" s="182" t="s">
        <v>782</v>
      </c>
      <c r="E40" s="177" t="s">
        <v>783</v>
      </c>
      <c r="F40" s="185" t="s">
        <v>1</v>
      </c>
      <c r="G40" s="164">
        <v>32</v>
      </c>
      <c r="H40" s="165">
        <v>5262</v>
      </c>
      <c r="I40" s="165">
        <f t="shared" si="0"/>
        <v>526.20000000000005</v>
      </c>
      <c r="J40" s="165">
        <f t="shared" si="1"/>
        <v>99.978000000000009</v>
      </c>
      <c r="K40" s="165">
        <f t="shared" si="2"/>
        <v>5888.1779999999999</v>
      </c>
      <c r="L40" s="165">
        <v>2617</v>
      </c>
      <c r="M40" s="166">
        <v>0.20000000000000004</v>
      </c>
      <c r="N40" s="167">
        <v>0.60212846826301791</v>
      </c>
      <c r="O40" s="165">
        <v>2093.6</v>
      </c>
      <c r="P40" s="165">
        <f t="shared" si="3"/>
        <v>209.36</v>
      </c>
      <c r="Q40" s="165">
        <f t="shared" si="4"/>
        <v>39.778400000000005</v>
      </c>
      <c r="R40" s="165">
        <f t="shared" si="5"/>
        <v>2342.7384000000002</v>
      </c>
      <c r="S40" s="71"/>
      <c r="T40" s="71"/>
      <c r="U40" s="91"/>
      <c r="V40" s="71"/>
      <c r="W40" s="71"/>
      <c r="X40" s="71"/>
      <c r="Y40" s="71"/>
      <c r="Z40" s="71"/>
      <c r="AA40" s="71"/>
      <c r="AB40" s="71"/>
      <c r="AC40" s="71"/>
      <c r="AD40" s="71"/>
      <c r="AE40" s="71"/>
      <c r="AF40" s="71"/>
      <c r="AG40" s="71"/>
      <c r="AH40" s="71"/>
      <c r="AI40" s="71"/>
      <c r="AJ40" s="71"/>
      <c r="AK40" s="71"/>
      <c r="AL40" s="71"/>
      <c r="AM40" s="71">
        <v>12</v>
      </c>
      <c r="AN40" s="94"/>
      <c r="AO40" s="71"/>
      <c r="AP40" s="71">
        <v>5</v>
      </c>
      <c r="AQ40" s="71"/>
      <c r="AR40" s="71">
        <v>17</v>
      </c>
      <c r="AS40" s="79">
        <v>35591.199999999997</v>
      </c>
      <c r="AT40" s="91">
        <v>32</v>
      </c>
      <c r="AU40" s="91">
        <v>35591.199999999997</v>
      </c>
      <c r="AV40" s="213"/>
      <c r="AW40" s="214"/>
      <c r="AX40" s="211">
        <v>35591.199999999997</v>
      </c>
      <c r="AY40" s="212"/>
    </row>
    <row r="41" spans="1:51">
      <c r="A41" s="225" t="s">
        <v>1511</v>
      </c>
      <c r="B41" s="225" t="s">
        <v>1512</v>
      </c>
      <c r="C41" s="163">
        <v>87</v>
      </c>
      <c r="D41" s="182" t="s">
        <v>786</v>
      </c>
      <c r="E41" s="177" t="s">
        <v>787</v>
      </c>
      <c r="F41" s="185" t="s">
        <v>1</v>
      </c>
      <c r="G41" s="164">
        <v>63</v>
      </c>
      <c r="H41" s="165">
        <v>9752</v>
      </c>
      <c r="I41" s="165">
        <f t="shared" si="0"/>
        <v>975.2</v>
      </c>
      <c r="J41" s="165">
        <f t="shared" si="1"/>
        <v>185.28800000000001</v>
      </c>
      <c r="K41" s="165">
        <f t="shared" si="2"/>
        <v>10912.488000000001</v>
      </c>
      <c r="L41" s="165">
        <v>3337</v>
      </c>
      <c r="M41" s="166">
        <v>0.25</v>
      </c>
      <c r="N41" s="167">
        <v>0.74336033634126331</v>
      </c>
      <c r="O41" s="165">
        <v>2502.75</v>
      </c>
      <c r="P41" s="165">
        <f t="shared" si="3"/>
        <v>250.27500000000001</v>
      </c>
      <c r="Q41" s="165">
        <f t="shared" si="4"/>
        <v>47.552250000000001</v>
      </c>
      <c r="R41" s="165">
        <f t="shared" si="5"/>
        <v>2800.5772500000003</v>
      </c>
      <c r="S41" s="71"/>
      <c r="T41" s="71"/>
      <c r="U41" s="91"/>
      <c r="V41" s="71"/>
      <c r="W41" s="71"/>
      <c r="X41" s="71"/>
      <c r="Y41" s="71"/>
      <c r="Z41" s="71"/>
      <c r="AA41" s="71"/>
      <c r="AB41" s="71"/>
      <c r="AC41" s="71"/>
      <c r="AD41" s="71"/>
      <c r="AE41" s="71"/>
      <c r="AF41" s="71"/>
      <c r="AG41" s="71"/>
      <c r="AH41" s="71"/>
      <c r="AI41" s="71"/>
      <c r="AJ41" s="71">
        <v>10</v>
      </c>
      <c r="AK41" s="71">
        <v>15</v>
      </c>
      <c r="AL41" s="71">
        <v>10</v>
      </c>
      <c r="AM41" s="71"/>
      <c r="AN41" s="94" t="s">
        <v>1410</v>
      </c>
      <c r="AO41" s="71"/>
      <c r="AP41" s="71">
        <v>10</v>
      </c>
      <c r="AQ41" s="71"/>
      <c r="AR41" s="71">
        <v>45</v>
      </c>
      <c r="AS41" s="79">
        <v>112623.75</v>
      </c>
      <c r="AT41" s="91">
        <v>63</v>
      </c>
      <c r="AU41" s="91">
        <v>112623.75</v>
      </c>
      <c r="AV41" s="213"/>
      <c r="AW41" s="214"/>
      <c r="AX41" s="211">
        <v>112623.75</v>
      </c>
      <c r="AY41" s="212"/>
    </row>
    <row r="42" spans="1:51">
      <c r="A42" s="225" t="s">
        <v>1507</v>
      </c>
      <c r="B42" s="227" t="s">
        <v>1508</v>
      </c>
      <c r="C42" s="163">
        <v>90</v>
      </c>
      <c r="D42" s="182" t="s">
        <v>792</v>
      </c>
      <c r="E42" s="177" t="s">
        <v>793</v>
      </c>
      <c r="F42" s="185" t="s">
        <v>1</v>
      </c>
      <c r="G42" s="164">
        <v>44</v>
      </c>
      <c r="H42" s="165">
        <v>15533</v>
      </c>
      <c r="I42" s="165">
        <f t="shared" si="0"/>
        <v>1553.3000000000002</v>
      </c>
      <c r="J42" s="165">
        <f t="shared" si="1"/>
        <v>295.12700000000007</v>
      </c>
      <c r="K42" s="165">
        <f t="shared" si="2"/>
        <v>17381.427</v>
      </c>
      <c r="L42" s="165">
        <v>2980</v>
      </c>
      <c r="M42" s="166">
        <v>0.2</v>
      </c>
      <c r="N42" s="167">
        <v>0.84652031159466945</v>
      </c>
      <c r="O42" s="165">
        <v>2384</v>
      </c>
      <c r="P42" s="165">
        <f t="shared" si="3"/>
        <v>238.4</v>
      </c>
      <c r="Q42" s="165">
        <f t="shared" si="4"/>
        <v>45.295999999999999</v>
      </c>
      <c r="R42" s="165">
        <f t="shared" si="5"/>
        <v>2667.6959999999999</v>
      </c>
      <c r="S42" s="71"/>
      <c r="T42" s="71"/>
      <c r="U42" s="91"/>
      <c r="V42" s="71"/>
      <c r="W42" s="71"/>
      <c r="X42" s="71"/>
      <c r="Y42" s="71"/>
      <c r="Z42" s="71"/>
      <c r="AA42" s="71"/>
      <c r="AB42" s="71"/>
      <c r="AC42" s="71"/>
      <c r="AD42" s="71"/>
      <c r="AE42" s="71"/>
      <c r="AF42" s="71"/>
      <c r="AG42" s="71"/>
      <c r="AH42" s="71"/>
      <c r="AI42" s="71"/>
      <c r="AJ42" s="71"/>
      <c r="AK42" s="71"/>
      <c r="AL42" s="71"/>
      <c r="AM42" s="71">
        <v>2</v>
      </c>
      <c r="AN42" s="94"/>
      <c r="AO42" s="71"/>
      <c r="AP42" s="71">
        <v>4</v>
      </c>
      <c r="AQ42" s="71"/>
      <c r="AR42" s="71">
        <v>6</v>
      </c>
      <c r="AS42" s="79">
        <v>14304</v>
      </c>
      <c r="AT42" s="91">
        <v>44</v>
      </c>
      <c r="AU42" s="91">
        <v>14304</v>
      </c>
      <c r="AV42" s="213"/>
      <c r="AW42" s="214"/>
      <c r="AX42" s="211">
        <v>14304</v>
      </c>
      <c r="AY42" s="212"/>
    </row>
    <row r="43" spans="1:51">
      <c r="A43" s="225" t="s">
        <v>1507</v>
      </c>
      <c r="B43" s="227" t="s">
        <v>1508</v>
      </c>
      <c r="C43" s="163">
        <v>91</v>
      </c>
      <c r="D43" s="182"/>
      <c r="E43" s="177"/>
      <c r="F43" s="185"/>
      <c r="G43" s="164"/>
      <c r="H43" s="165"/>
      <c r="I43" s="165">
        <f t="shared" si="0"/>
        <v>0</v>
      </c>
      <c r="J43" s="165">
        <f t="shared" si="1"/>
        <v>0</v>
      </c>
      <c r="K43" s="165">
        <f t="shared" si="2"/>
        <v>0</v>
      </c>
      <c r="L43" s="165"/>
      <c r="M43" s="166"/>
      <c r="N43" s="167"/>
      <c r="O43" s="165"/>
      <c r="P43" s="165">
        <f t="shared" si="3"/>
        <v>0</v>
      </c>
      <c r="Q43" s="165">
        <f t="shared" si="4"/>
        <v>0</v>
      </c>
      <c r="R43" s="165">
        <f t="shared" si="5"/>
        <v>0</v>
      </c>
      <c r="S43" s="71"/>
      <c r="T43" s="71"/>
      <c r="U43" s="91"/>
      <c r="V43" s="71"/>
      <c r="W43" s="71"/>
      <c r="X43" s="71"/>
      <c r="Y43" s="71"/>
      <c r="Z43" s="71"/>
      <c r="AA43" s="71"/>
      <c r="AB43" s="71"/>
      <c r="AC43" s="71"/>
      <c r="AD43" s="71"/>
      <c r="AE43" s="71"/>
      <c r="AF43" s="71"/>
      <c r="AG43" s="71"/>
      <c r="AH43" s="71"/>
      <c r="AI43" s="71"/>
      <c r="AJ43" s="71"/>
      <c r="AK43" s="71"/>
      <c r="AL43" s="71"/>
      <c r="AM43" s="71"/>
      <c r="AN43" s="94"/>
      <c r="AO43" s="71"/>
      <c r="AP43" s="71"/>
      <c r="AQ43" s="71"/>
      <c r="AR43" s="71"/>
      <c r="AS43" s="79"/>
      <c r="AT43" s="91"/>
      <c r="AU43" s="91"/>
      <c r="AV43" s="213"/>
      <c r="AW43" s="214"/>
      <c r="AX43" s="211"/>
      <c r="AY43" s="212"/>
    </row>
    <row r="44" spans="1:51">
      <c r="A44" s="225" t="s">
        <v>1449</v>
      </c>
      <c r="B44" s="226" t="s">
        <v>1450</v>
      </c>
      <c r="C44" s="163">
        <v>92</v>
      </c>
      <c r="D44" s="182" t="s">
        <v>796</v>
      </c>
      <c r="E44" s="177" t="s">
        <v>797</v>
      </c>
      <c r="F44" s="185" t="s">
        <v>1</v>
      </c>
      <c r="G44" s="164">
        <v>7</v>
      </c>
      <c r="H44" s="165">
        <v>5900</v>
      </c>
      <c r="I44" s="165">
        <f t="shared" si="0"/>
        <v>590</v>
      </c>
      <c r="J44" s="165">
        <f t="shared" si="1"/>
        <v>112.1</v>
      </c>
      <c r="K44" s="165">
        <f t="shared" si="2"/>
        <v>6602.1</v>
      </c>
      <c r="L44" s="165">
        <v>4387</v>
      </c>
      <c r="M44" s="166">
        <v>0.2</v>
      </c>
      <c r="N44" s="167">
        <v>0.40515254237288134</v>
      </c>
      <c r="O44" s="165">
        <v>3509.6</v>
      </c>
      <c r="P44" s="165">
        <f t="shared" si="3"/>
        <v>350.96000000000004</v>
      </c>
      <c r="Q44" s="165">
        <f t="shared" si="4"/>
        <v>66.682400000000001</v>
      </c>
      <c r="R44" s="165">
        <f t="shared" si="5"/>
        <v>3927.2424000000001</v>
      </c>
      <c r="S44" s="71"/>
      <c r="T44" s="71"/>
      <c r="U44" s="91"/>
      <c r="V44" s="71"/>
      <c r="W44" s="71"/>
      <c r="X44" s="71"/>
      <c r="Y44" s="71"/>
      <c r="Z44" s="71"/>
      <c r="AA44" s="71"/>
      <c r="AB44" s="71"/>
      <c r="AC44" s="71"/>
      <c r="AD44" s="71"/>
      <c r="AE44" s="71"/>
      <c r="AF44" s="71"/>
      <c r="AG44" s="71"/>
      <c r="AH44" s="71"/>
      <c r="AI44" s="71"/>
      <c r="AJ44" s="71">
        <v>5</v>
      </c>
      <c r="AK44" s="71"/>
      <c r="AL44" s="71"/>
      <c r="AM44" s="71"/>
      <c r="AN44" s="94"/>
      <c r="AO44" s="71"/>
      <c r="AP44" s="71"/>
      <c r="AQ44" s="94" t="s">
        <v>1407</v>
      </c>
      <c r="AR44" s="94">
        <v>5</v>
      </c>
      <c r="AS44" s="79">
        <v>17548</v>
      </c>
      <c r="AT44" s="91">
        <v>7</v>
      </c>
      <c r="AU44" s="91">
        <v>17548</v>
      </c>
      <c r="AV44" s="213"/>
      <c r="AW44" s="214"/>
      <c r="AX44" s="211">
        <v>17548</v>
      </c>
      <c r="AY44" s="212"/>
    </row>
    <row r="45" spans="1:51">
      <c r="A45" s="225" t="s">
        <v>1449</v>
      </c>
      <c r="B45" s="226" t="s">
        <v>1450</v>
      </c>
      <c r="C45" s="163">
        <v>93</v>
      </c>
      <c r="D45" s="182" t="s">
        <v>798</v>
      </c>
      <c r="E45" s="177" t="s">
        <v>799</v>
      </c>
      <c r="F45" s="185" t="s">
        <v>1</v>
      </c>
      <c r="G45" s="164">
        <v>66</v>
      </c>
      <c r="H45" s="165">
        <v>7339</v>
      </c>
      <c r="I45" s="165">
        <f t="shared" si="0"/>
        <v>733.90000000000009</v>
      </c>
      <c r="J45" s="165">
        <f t="shared" si="1"/>
        <v>139.44100000000003</v>
      </c>
      <c r="K45" s="165">
        <f t="shared" si="2"/>
        <v>8212.3410000000003</v>
      </c>
      <c r="L45" s="165">
        <v>5750</v>
      </c>
      <c r="M45" s="166">
        <v>0.25</v>
      </c>
      <c r="N45" s="167">
        <v>0.41238588363537265</v>
      </c>
      <c r="O45" s="165">
        <v>4312.5</v>
      </c>
      <c r="P45" s="165">
        <f t="shared" si="3"/>
        <v>431.25</v>
      </c>
      <c r="Q45" s="165">
        <f t="shared" si="4"/>
        <v>81.9375</v>
      </c>
      <c r="R45" s="165">
        <f t="shared" si="5"/>
        <v>4825.6875</v>
      </c>
      <c r="S45" s="71"/>
      <c r="T45" s="71"/>
      <c r="U45" s="91"/>
      <c r="V45" s="71"/>
      <c r="W45" s="71"/>
      <c r="X45" s="71"/>
      <c r="Y45" s="71"/>
      <c r="Z45" s="71"/>
      <c r="AA45" s="71"/>
      <c r="AB45" s="71"/>
      <c r="AC45" s="71"/>
      <c r="AD45" s="71"/>
      <c r="AE45" s="71"/>
      <c r="AF45" s="71"/>
      <c r="AG45" s="71"/>
      <c r="AH45" s="71"/>
      <c r="AI45" s="71"/>
      <c r="AJ45" s="71"/>
      <c r="AK45" s="71"/>
      <c r="AL45" s="71">
        <v>4</v>
      </c>
      <c r="AM45" s="71">
        <v>8</v>
      </c>
      <c r="AN45" s="94"/>
      <c r="AO45" s="71"/>
      <c r="AP45" s="71">
        <v>5</v>
      </c>
      <c r="AQ45" s="71"/>
      <c r="AR45" s="71">
        <v>17</v>
      </c>
      <c r="AS45" s="79">
        <v>73312.5</v>
      </c>
      <c r="AT45" s="91">
        <v>66</v>
      </c>
      <c r="AU45" s="91">
        <v>73312.5</v>
      </c>
      <c r="AV45" s="213"/>
      <c r="AW45" s="214"/>
      <c r="AX45" s="211">
        <v>73312.5</v>
      </c>
      <c r="AY45" s="212"/>
    </row>
    <row r="46" spans="1:51">
      <c r="A46" s="225" t="s">
        <v>1449</v>
      </c>
      <c r="B46" s="226" t="s">
        <v>1450</v>
      </c>
      <c r="C46" s="163">
        <v>94</v>
      </c>
      <c r="D46" s="182" t="s">
        <v>800</v>
      </c>
      <c r="E46" s="177" t="s">
        <v>801</v>
      </c>
      <c r="F46" s="185" t="s">
        <v>1</v>
      </c>
      <c r="G46" s="164">
        <v>123</v>
      </c>
      <c r="H46" s="165">
        <v>10429</v>
      </c>
      <c r="I46" s="165">
        <f t="shared" si="0"/>
        <v>1042.9000000000001</v>
      </c>
      <c r="J46" s="165">
        <f t="shared" si="1"/>
        <v>198.15100000000001</v>
      </c>
      <c r="K46" s="165">
        <f t="shared" si="2"/>
        <v>11670.050999999999</v>
      </c>
      <c r="L46" s="165">
        <v>5933</v>
      </c>
      <c r="M46" s="166">
        <v>0.25</v>
      </c>
      <c r="N46" s="167">
        <v>0.57332917825294849</v>
      </c>
      <c r="O46" s="165">
        <v>4449.75</v>
      </c>
      <c r="P46" s="165">
        <f t="shared" si="3"/>
        <v>444.97500000000002</v>
      </c>
      <c r="Q46" s="165">
        <f t="shared" si="4"/>
        <v>84.54525000000001</v>
      </c>
      <c r="R46" s="165">
        <f t="shared" si="5"/>
        <v>4979.2702500000005</v>
      </c>
      <c r="S46" s="71">
        <v>20</v>
      </c>
      <c r="T46" s="71">
        <v>8</v>
      </c>
      <c r="U46" s="91">
        <v>8</v>
      </c>
      <c r="V46" s="71"/>
      <c r="W46" s="71">
        <v>8</v>
      </c>
      <c r="X46" s="71">
        <v>8</v>
      </c>
      <c r="Y46" s="71">
        <v>8</v>
      </c>
      <c r="Z46" s="71">
        <v>8</v>
      </c>
      <c r="AA46" s="71">
        <v>8</v>
      </c>
      <c r="AB46" s="71">
        <v>8</v>
      </c>
      <c r="AC46" s="71">
        <v>8</v>
      </c>
      <c r="AD46" s="71">
        <v>8</v>
      </c>
      <c r="AE46" s="71">
        <v>4</v>
      </c>
      <c r="AF46" s="71">
        <v>4</v>
      </c>
      <c r="AG46" s="71">
        <v>4</v>
      </c>
      <c r="AH46" s="71">
        <v>8</v>
      </c>
      <c r="AI46" s="71">
        <v>4</v>
      </c>
      <c r="AJ46" s="71"/>
      <c r="AK46" s="71">
        <v>10</v>
      </c>
      <c r="AL46" s="71">
        <v>5</v>
      </c>
      <c r="AM46" s="71">
        <v>8</v>
      </c>
      <c r="AN46" s="94"/>
      <c r="AO46" s="71"/>
      <c r="AP46" s="71">
        <v>7</v>
      </c>
      <c r="AQ46" s="71"/>
      <c r="AR46" s="71">
        <v>154</v>
      </c>
      <c r="AS46" s="79">
        <v>685261.5</v>
      </c>
      <c r="AT46" s="91">
        <v>123</v>
      </c>
      <c r="AU46" s="91">
        <v>547319.25</v>
      </c>
      <c r="AV46" s="213">
        <v>31</v>
      </c>
      <c r="AW46" s="215">
        <v>323299</v>
      </c>
      <c r="AX46" s="211">
        <v>870618.25</v>
      </c>
      <c r="AY46" s="212"/>
    </row>
    <row r="47" spans="1:51">
      <c r="A47" s="225" t="s">
        <v>1511</v>
      </c>
      <c r="B47" s="225" t="s">
        <v>1512</v>
      </c>
      <c r="C47" s="163">
        <v>96</v>
      </c>
      <c r="D47" s="182" t="s">
        <v>804</v>
      </c>
      <c r="E47" s="177" t="s">
        <v>787</v>
      </c>
      <c r="F47" s="185" t="s">
        <v>1</v>
      </c>
      <c r="G47" s="164">
        <v>41</v>
      </c>
      <c r="H47" s="165">
        <v>9752</v>
      </c>
      <c r="I47" s="165">
        <f t="shared" si="0"/>
        <v>975.2</v>
      </c>
      <c r="J47" s="165">
        <f t="shared" si="1"/>
        <v>185.28800000000001</v>
      </c>
      <c r="K47" s="165">
        <f t="shared" si="2"/>
        <v>10912.488000000001</v>
      </c>
      <c r="L47" s="165">
        <v>3337</v>
      </c>
      <c r="M47" s="166">
        <v>0.20000000000000004</v>
      </c>
      <c r="N47" s="167">
        <v>0.72625102543068087</v>
      </c>
      <c r="O47" s="165">
        <v>2669.6</v>
      </c>
      <c r="P47" s="165">
        <f t="shared" si="3"/>
        <v>266.95999999999998</v>
      </c>
      <c r="Q47" s="165">
        <f t="shared" si="4"/>
        <v>50.722399999999993</v>
      </c>
      <c r="R47" s="165">
        <f t="shared" si="5"/>
        <v>2987.2824000000001</v>
      </c>
      <c r="S47" s="71"/>
      <c r="T47" s="71"/>
      <c r="U47" s="91"/>
      <c r="V47" s="71"/>
      <c r="W47" s="71"/>
      <c r="X47" s="71"/>
      <c r="Y47" s="71"/>
      <c r="Z47" s="71"/>
      <c r="AA47" s="71"/>
      <c r="AB47" s="71"/>
      <c r="AC47" s="71"/>
      <c r="AD47" s="71"/>
      <c r="AE47" s="71"/>
      <c r="AF47" s="71"/>
      <c r="AG47" s="71"/>
      <c r="AH47" s="71"/>
      <c r="AI47" s="71"/>
      <c r="AJ47" s="71">
        <v>5</v>
      </c>
      <c r="AK47" s="71"/>
      <c r="AL47" s="71">
        <v>5</v>
      </c>
      <c r="AM47" s="71">
        <v>10</v>
      </c>
      <c r="AN47" s="94"/>
      <c r="AO47" s="71"/>
      <c r="AP47" s="71">
        <v>2</v>
      </c>
      <c r="AQ47" s="71"/>
      <c r="AR47" s="71">
        <v>22</v>
      </c>
      <c r="AS47" s="79">
        <v>58731.199999999997</v>
      </c>
      <c r="AT47" s="91">
        <v>41</v>
      </c>
      <c r="AU47" s="91">
        <v>58731.199999999997</v>
      </c>
      <c r="AV47" s="213"/>
      <c r="AW47" s="214"/>
      <c r="AX47" s="211">
        <v>58731.199999999997</v>
      </c>
      <c r="AY47" s="212"/>
    </row>
    <row r="48" spans="1:51">
      <c r="A48" s="225" t="s">
        <v>1507</v>
      </c>
      <c r="B48" s="227" t="s">
        <v>1508</v>
      </c>
      <c r="C48" s="163">
        <v>98</v>
      </c>
      <c r="D48" s="182" t="s">
        <v>807</v>
      </c>
      <c r="E48" s="177" t="s">
        <v>808</v>
      </c>
      <c r="F48" s="185" t="s">
        <v>1</v>
      </c>
      <c r="G48" s="164">
        <v>47</v>
      </c>
      <c r="H48" s="165">
        <v>6630</v>
      </c>
      <c r="I48" s="165">
        <f t="shared" si="0"/>
        <v>663</v>
      </c>
      <c r="J48" s="165">
        <f t="shared" si="1"/>
        <v>125.97</v>
      </c>
      <c r="K48" s="165">
        <f t="shared" si="2"/>
        <v>7418.97</v>
      </c>
      <c r="L48" s="165">
        <v>2904</v>
      </c>
      <c r="M48" s="166">
        <v>0.20000000000000007</v>
      </c>
      <c r="N48" s="167">
        <v>0.64959276018099543</v>
      </c>
      <c r="O48" s="165">
        <v>2323.1999999999998</v>
      </c>
      <c r="P48" s="165">
        <f t="shared" si="3"/>
        <v>232.32</v>
      </c>
      <c r="Q48" s="165">
        <f t="shared" si="4"/>
        <v>44.140799999999999</v>
      </c>
      <c r="R48" s="165">
        <f t="shared" si="5"/>
        <v>2599.6608000000001</v>
      </c>
      <c r="S48" s="71"/>
      <c r="T48" s="71"/>
      <c r="U48" s="91"/>
      <c r="V48" s="71"/>
      <c r="W48" s="71"/>
      <c r="X48" s="71"/>
      <c r="Y48" s="71"/>
      <c r="Z48" s="71"/>
      <c r="AA48" s="71"/>
      <c r="AB48" s="71"/>
      <c r="AC48" s="71"/>
      <c r="AD48" s="71"/>
      <c r="AE48" s="71"/>
      <c r="AF48" s="71"/>
      <c r="AG48" s="71"/>
      <c r="AH48" s="71"/>
      <c r="AI48" s="71"/>
      <c r="AJ48" s="71">
        <v>5</v>
      </c>
      <c r="AK48" s="71"/>
      <c r="AL48" s="71"/>
      <c r="AM48" s="71">
        <v>8</v>
      </c>
      <c r="AN48" s="94" t="s">
        <v>1410</v>
      </c>
      <c r="AO48" s="71"/>
      <c r="AP48" s="71">
        <v>10</v>
      </c>
      <c r="AQ48" s="71"/>
      <c r="AR48" s="71">
        <v>23</v>
      </c>
      <c r="AS48" s="79">
        <v>53433.599999999999</v>
      </c>
      <c r="AT48" s="91">
        <v>47</v>
      </c>
      <c r="AU48" s="91">
        <v>53433.599999999999</v>
      </c>
      <c r="AV48" s="213"/>
      <c r="AW48" s="214"/>
      <c r="AX48" s="211">
        <v>53433.599999999999</v>
      </c>
      <c r="AY48" s="212"/>
    </row>
    <row r="49" spans="1:51">
      <c r="A49" s="225" t="s">
        <v>1451</v>
      </c>
      <c r="B49" s="228" t="s">
        <v>1452</v>
      </c>
      <c r="C49" s="163">
        <v>99</v>
      </c>
      <c r="D49" s="182" t="s">
        <v>809</v>
      </c>
      <c r="E49" s="177" t="s">
        <v>810</v>
      </c>
      <c r="F49" s="185" t="s">
        <v>1</v>
      </c>
      <c r="G49" s="164">
        <v>91</v>
      </c>
      <c r="H49" s="165">
        <v>22396</v>
      </c>
      <c r="I49" s="165">
        <f t="shared" si="0"/>
        <v>2239.6</v>
      </c>
      <c r="J49" s="165">
        <f t="shared" si="1"/>
        <v>425.524</v>
      </c>
      <c r="K49" s="165">
        <f t="shared" si="2"/>
        <v>25061.124</v>
      </c>
      <c r="L49" s="165">
        <v>13170</v>
      </c>
      <c r="M49" s="166">
        <v>0.25</v>
      </c>
      <c r="N49" s="167">
        <v>0.55896142168244323</v>
      </c>
      <c r="O49" s="165">
        <v>9877.5</v>
      </c>
      <c r="P49" s="165">
        <f t="shared" si="3"/>
        <v>987.75</v>
      </c>
      <c r="Q49" s="165">
        <f t="shared" si="4"/>
        <v>187.67250000000001</v>
      </c>
      <c r="R49" s="165">
        <f t="shared" si="5"/>
        <v>11052.922500000001</v>
      </c>
      <c r="S49" s="71">
        <v>20</v>
      </c>
      <c r="T49" s="71">
        <v>5</v>
      </c>
      <c r="U49" s="91">
        <v>5</v>
      </c>
      <c r="V49" s="71"/>
      <c r="W49" s="71">
        <v>5</v>
      </c>
      <c r="X49" s="71">
        <v>5</v>
      </c>
      <c r="Y49" s="71">
        <v>5</v>
      </c>
      <c r="Z49" s="71">
        <v>5</v>
      </c>
      <c r="AA49" s="71">
        <v>5</v>
      </c>
      <c r="AB49" s="71">
        <v>5</v>
      </c>
      <c r="AC49" s="71">
        <v>5</v>
      </c>
      <c r="AD49" s="71"/>
      <c r="AE49" s="71">
        <v>5</v>
      </c>
      <c r="AF49" s="71">
        <v>5</v>
      </c>
      <c r="AG49" s="71">
        <v>5</v>
      </c>
      <c r="AH49" s="71">
        <v>5</v>
      </c>
      <c r="AI49" s="71">
        <v>5</v>
      </c>
      <c r="AJ49" s="71"/>
      <c r="AK49" s="71"/>
      <c r="AL49" s="71">
        <v>5</v>
      </c>
      <c r="AM49" s="71">
        <v>10</v>
      </c>
      <c r="AN49" s="94"/>
      <c r="AO49" s="71"/>
      <c r="AP49" s="71">
        <v>10</v>
      </c>
      <c r="AQ49" s="71"/>
      <c r="AR49" s="71">
        <v>115</v>
      </c>
      <c r="AS49" s="79">
        <v>1135912.5</v>
      </c>
      <c r="AT49" s="91">
        <v>91</v>
      </c>
      <c r="AU49" s="91">
        <v>898852.5</v>
      </c>
      <c r="AV49" s="213">
        <v>24</v>
      </c>
      <c r="AW49" s="215">
        <v>537504</v>
      </c>
      <c r="AX49" s="211">
        <v>1436356.5</v>
      </c>
      <c r="AY49" s="212"/>
    </row>
    <row r="50" spans="1:51">
      <c r="A50" s="225" t="s">
        <v>1451</v>
      </c>
      <c r="B50" s="228" t="s">
        <v>1452</v>
      </c>
      <c r="C50" s="163">
        <v>100</v>
      </c>
      <c r="D50" s="182" t="s">
        <v>811</v>
      </c>
      <c r="E50" s="177" t="s">
        <v>812</v>
      </c>
      <c r="F50" s="185" t="s">
        <v>1</v>
      </c>
      <c r="G50" s="164">
        <v>106</v>
      </c>
      <c r="H50" s="165">
        <v>22396</v>
      </c>
      <c r="I50" s="165">
        <f t="shared" si="0"/>
        <v>2239.6</v>
      </c>
      <c r="J50" s="165">
        <f t="shared" si="1"/>
        <v>425.524</v>
      </c>
      <c r="K50" s="165">
        <f t="shared" si="2"/>
        <v>25061.124</v>
      </c>
      <c r="L50" s="165">
        <v>13170</v>
      </c>
      <c r="M50" s="166">
        <v>0.25</v>
      </c>
      <c r="N50" s="167">
        <v>0.55896142168244323</v>
      </c>
      <c r="O50" s="165">
        <v>9877.5</v>
      </c>
      <c r="P50" s="165">
        <f t="shared" si="3"/>
        <v>987.75</v>
      </c>
      <c r="Q50" s="165">
        <f t="shared" si="4"/>
        <v>187.67250000000001</v>
      </c>
      <c r="R50" s="165">
        <f t="shared" si="5"/>
        <v>11052.922500000001</v>
      </c>
      <c r="S50" s="71"/>
      <c r="T50" s="71">
        <v>5</v>
      </c>
      <c r="U50" s="91">
        <v>5</v>
      </c>
      <c r="V50" s="71"/>
      <c r="W50" s="71">
        <v>5</v>
      </c>
      <c r="X50" s="71">
        <v>5</v>
      </c>
      <c r="Y50" s="71">
        <v>5</v>
      </c>
      <c r="Z50" s="71">
        <v>5</v>
      </c>
      <c r="AA50" s="71">
        <v>5</v>
      </c>
      <c r="AB50" s="71">
        <v>5</v>
      </c>
      <c r="AC50" s="71">
        <v>5</v>
      </c>
      <c r="AD50" s="71"/>
      <c r="AE50" s="71">
        <v>5</v>
      </c>
      <c r="AF50" s="71">
        <v>5</v>
      </c>
      <c r="AG50" s="71">
        <v>5</v>
      </c>
      <c r="AH50" s="71">
        <v>5</v>
      </c>
      <c r="AI50" s="71">
        <v>5</v>
      </c>
      <c r="AJ50" s="71"/>
      <c r="AK50" s="71"/>
      <c r="AL50" s="71">
        <v>5</v>
      </c>
      <c r="AM50" s="71">
        <v>10</v>
      </c>
      <c r="AN50" s="94"/>
      <c r="AO50" s="71"/>
      <c r="AP50" s="71">
        <v>12</v>
      </c>
      <c r="AQ50" s="71"/>
      <c r="AR50" s="71">
        <v>97</v>
      </c>
      <c r="AS50" s="79">
        <v>958117.5</v>
      </c>
      <c r="AT50" s="91">
        <v>106</v>
      </c>
      <c r="AU50" s="91">
        <v>958117.5</v>
      </c>
      <c r="AV50" s="213"/>
      <c r="AW50" s="214"/>
      <c r="AX50" s="211">
        <v>958117.5</v>
      </c>
      <c r="AY50" s="212"/>
    </row>
    <row r="51" spans="1:51">
      <c r="A51" s="225" t="s">
        <v>1451</v>
      </c>
      <c r="B51" s="228" t="s">
        <v>1452</v>
      </c>
      <c r="C51" s="163">
        <v>101</v>
      </c>
      <c r="D51" s="182" t="s">
        <v>813</v>
      </c>
      <c r="E51" s="177" t="s">
        <v>814</v>
      </c>
      <c r="F51" s="185" t="s">
        <v>1</v>
      </c>
      <c r="G51" s="164">
        <v>2</v>
      </c>
      <c r="H51" s="165">
        <v>36887</v>
      </c>
      <c r="I51" s="165">
        <f t="shared" si="0"/>
        <v>3688.7000000000003</v>
      </c>
      <c r="J51" s="165">
        <f t="shared" si="1"/>
        <v>700.85300000000007</v>
      </c>
      <c r="K51" s="165">
        <f t="shared" si="2"/>
        <v>41276.553</v>
      </c>
      <c r="L51" s="165">
        <v>16189</v>
      </c>
      <c r="M51" s="166">
        <v>0.19999999999999996</v>
      </c>
      <c r="N51" s="167">
        <v>0.64889527475804476</v>
      </c>
      <c r="O51" s="165">
        <v>12951.2</v>
      </c>
      <c r="P51" s="165">
        <f t="shared" si="3"/>
        <v>1295.1200000000001</v>
      </c>
      <c r="Q51" s="165">
        <f t="shared" si="4"/>
        <v>246.07280000000003</v>
      </c>
      <c r="R51" s="165">
        <f t="shared" si="5"/>
        <v>14492.392800000001</v>
      </c>
      <c r="S51" s="71"/>
      <c r="T51" s="71"/>
      <c r="U51" s="91"/>
      <c r="V51" s="71"/>
      <c r="W51" s="71"/>
      <c r="X51" s="71"/>
      <c r="Y51" s="71"/>
      <c r="Z51" s="71"/>
      <c r="AA51" s="71"/>
      <c r="AB51" s="71"/>
      <c r="AC51" s="71"/>
      <c r="AD51" s="71"/>
      <c r="AE51" s="71"/>
      <c r="AF51" s="71"/>
      <c r="AG51" s="71"/>
      <c r="AH51" s="71"/>
      <c r="AI51" s="71"/>
      <c r="AJ51" s="71">
        <v>4</v>
      </c>
      <c r="AK51" s="71"/>
      <c r="AL51" s="71"/>
      <c r="AM51" s="71">
        <v>10</v>
      </c>
      <c r="AN51" s="94"/>
      <c r="AO51" s="71"/>
      <c r="AP51" s="71">
        <v>3</v>
      </c>
      <c r="AQ51" s="71"/>
      <c r="AR51" s="71">
        <v>17</v>
      </c>
      <c r="AS51" s="79">
        <v>220170.40000000002</v>
      </c>
      <c r="AT51" s="91">
        <v>2</v>
      </c>
      <c r="AU51" s="91">
        <v>25902.400000000001</v>
      </c>
      <c r="AV51" s="213">
        <v>15</v>
      </c>
      <c r="AW51" s="215">
        <v>553305</v>
      </c>
      <c r="AX51" s="211">
        <v>579207.4</v>
      </c>
      <c r="AY51" s="212"/>
    </row>
    <row r="52" spans="1:51">
      <c r="A52" s="225" t="s">
        <v>1451</v>
      </c>
      <c r="B52" s="228" t="s">
        <v>1452</v>
      </c>
      <c r="C52" s="163">
        <v>102</v>
      </c>
      <c r="D52" s="182" t="s">
        <v>815</v>
      </c>
      <c r="E52" s="177" t="s">
        <v>816</v>
      </c>
      <c r="F52" s="185" t="s">
        <v>1</v>
      </c>
      <c r="G52" s="164">
        <v>2</v>
      </c>
      <c r="H52" s="165">
        <v>36887</v>
      </c>
      <c r="I52" s="165">
        <f t="shared" si="0"/>
        <v>3688.7000000000003</v>
      </c>
      <c r="J52" s="165">
        <f t="shared" si="1"/>
        <v>700.85300000000007</v>
      </c>
      <c r="K52" s="165">
        <f t="shared" si="2"/>
        <v>41276.553</v>
      </c>
      <c r="L52" s="165">
        <v>16189</v>
      </c>
      <c r="M52" s="166">
        <v>0.19999999999999996</v>
      </c>
      <c r="N52" s="167">
        <v>0.64889527475804476</v>
      </c>
      <c r="O52" s="165">
        <v>12951.2</v>
      </c>
      <c r="P52" s="165">
        <f t="shared" si="3"/>
        <v>1295.1200000000001</v>
      </c>
      <c r="Q52" s="165">
        <f t="shared" si="4"/>
        <v>246.07280000000003</v>
      </c>
      <c r="R52" s="165">
        <f t="shared" si="5"/>
        <v>14492.392800000001</v>
      </c>
      <c r="S52" s="71"/>
      <c r="T52" s="71"/>
      <c r="U52" s="91"/>
      <c r="V52" s="71"/>
      <c r="W52" s="71"/>
      <c r="X52" s="71"/>
      <c r="Y52" s="71"/>
      <c r="Z52" s="71"/>
      <c r="AA52" s="71"/>
      <c r="AB52" s="71"/>
      <c r="AC52" s="71"/>
      <c r="AD52" s="71"/>
      <c r="AE52" s="71"/>
      <c r="AF52" s="71"/>
      <c r="AG52" s="71"/>
      <c r="AH52" s="71"/>
      <c r="AI52" s="71"/>
      <c r="AJ52" s="71"/>
      <c r="AK52" s="71"/>
      <c r="AL52" s="71"/>
      <c r="AM52" s="71">
        <v>10</v>
      </c>
      <c r="AN52" s="94"/>
      <c r="AO52" s="71"/>
      <c r="AP52" s="71"/>
      <c r="AQ52" s="71"/>
      <c r="AR52" s="71">
        <v>10</v>
      </c>
      <c r="AS52" s="79">
        <v>129512</v>
      </c>
      <c r="AT52" s="91">
        <v>2</v>
      </c>
      <c r="AU52" s="91">
        <v>25902.400000000001</v>
      </c>
      <c r="AV52" s="213">
        <v>8</v>
      </c>
      <c r="AW52" s="215">
        <v>295096</v>
      </c>
      <c r="AX52" s="211">
        <v>320998.40000000002</v>
      </c>
      <c r="AY52" s="212"/>
    </row>
    <row r="53" spans="1:51">
      <c r="A53" s="225" t="s">
        <v>1451</v>
      </c>
      <c r="B53" s="228" t="s">
        <v>1452</v>
      </c>
      <c r="C53" s="163">
        <v>105</v>
      </c>
      <c r="D53" s="182"/>
      <c r="E53" s="177"/>
      <c r="F53" s="185"/>
      <c r="G53" s="164"/>
      <c r="H53" s="165"/>
      <c r="I53" s="165">
        <f t="shared" si="0"/>
        <v>0</v>
      </c>
      <c r="J53" s="165">
        <f t="shared" si="1"/>
        <v>0</v>
      </c>
      <c r="K53" s="165">
        <f t="shared" si="2"/>
        <v>0</v>
      </c>
      <c r="L53" s="165"/>
      <c r="M53" s="166"/>
      <c r="N53" s="167"/>
      <c r="O53" s="165"/>
      <c r="P53" s="165">
        <f t="shared" si="3"/>
        <v>0</v>
      </c>
      <c r="Q53" s="165">
        <f t="shared" si="4"/>
        <v>0</v>
      </c>
      <c r="R53" s="165">
        <f t="shared" si="5"/>
        <v>0</v>
      </c>
      <c r="S53" s="71"/>
      <c r="T53" s="71"/>
      <c r="U53" s="91"/>
      <c r="V53" s="71"/>
      <c r="W53" s="71"/>
      <c r="X53" s="71"/>
      <c r="Y53" s="71"/>
      <c r="Z53" s="71"/>
      <c r="AA53" s="71"/>
      <c r="AB53" s="71"/>
      <c r="AC53" s="71"/>
      <c r="AD53" s="71"/>
      <c r="AE53" s="71"/>
      <c r="AF53" s="71"/>
      <c r="AG53" s="71"/>
      <c r="AH53" s="71"/>
      <c r="AI53" s="71"/>
      <c r="AJ53" s="71"/>
      <c r="AK53" s="71"/>
      <c r="AL53" s="71"/>
      <c r="AM53" s="71"/>
      <c r="AN53" s="94"/>
      <c r="AO53" s="71"/>
      <c r="AP53" s="71"/>
      <c r="AQ53" s="71"/>
      <c r="AR53" s="71"/>
      <c r="AS53" s="79"/>
      <c r="AT53" s="91"/>
      <c r="AU53" s="91"/>
      <c r="AV53" s="213"/>
      <c r="AW53" s="215"/>
      <c r="AX53" s="200"/>
      <c r="AY53" s="212"/>
    </row>
    <row r="54" spans="1:51" ht="22.5">
      <c r="A54" s="225" t="s">
        <v>1493</v>
      </c>
      <c r="B54" s="227" t="s">
        <v>1494</v>
      </c>
      <c r="C54" s="163">
        <v>106</v>
      </c>
      <c r="D54" s="188" t="s">
        <v>823</v>
      </c>
      <c r="E54" s="179" t="s">
        <v>824</v>
      </c>
      <c r="F54" s="185" t="s">
        <v>825</v>
      </c>
      <c r="G54" s="169">
        <v>466</v>
      </c>
      <c r="H54" s="165">
        <v>1309</v>
      </c>
      <c r="I54" s="165">
        <f t="shared" si="0"/>
        <v>130.9</v>
      </c>
      <c r="J54" s="165">
        <f t="shared" si="1"/>
        <v>24.871000000000002</v>
      </c>
      <c r="K54" s="165">
        <f t="shared" si="2"/>
        <v>1464.7710000000002</v>
      </c>
      <c r="L54" s="165">
        <v>597</v>
      </c>
      <c r="M54" s="166">
        <v>0.25</v>
      </c>
      <c r="N54" s="167">
        <v>0.65794499618029034</v>
      </c>
      <c r="O54" s="165">
        <v>447.75</v>
      </c>
      <c r="P54" s="165">
        <f t="shared" si="3"/>
        <v>44.775000000000006</v>
      </c>
      <c r="Q54" s="165">
        <f t="shared" si="4"/>
        <v>8.5072500000000009</v>
      </c>
      <c r="R54" s="165">
        <f t="shared" si="5"/>
        <v>501.03224999999998</v>
      </c>
      <c r="S54" s="71">
        <v>50</v>
      </c>
      <c r="T54" s="71">
        <v>15</v>
      </c>
      <c r="U54" s="91">
        <v>15</v>
      </c>
      <c r="V54" s="71"/>
      <c r="W54" s="71">
        <v>15</v>
      </c>
      <c r="X54" s="71">
        <v>15</v>
      </c>
      <c r="Y54" s="71">
        <v>15</v>
      </c>
      <c r="Z54" s="71">
        <v>10</v>
      </c>
      <c r="AA54" s="71">
        <v>15</v>
      </c>
      <c r="AB54" s="77">
        <v>15</v>
      </c>
      <c r="AC54" s="71">
        <v>15</v>
      </c>
      <c r="AD54" s="71">
        <v>10</v>
      </c>
      <c r="AE54" s="71">
        <v>10</v>
      </c>
      <c r="AF54" s="71">
        <v>10</v>
      </c>
      <c r="AG54" s="71">
        <v>10</v>
      </c>
      <c r="AH54" s="71">
        <v>15</v>
      </c>
      <c r="AI54" s="71">
        <v>10</v>
      </c>
      <c r="AJ54" s="71">
        <v>30</v>
      </c>
      <c r="AK54" s="71">
        <v>15</v>
      </c>
      <c r="AL54" s="71">
        <v>6</v>
      </c>
      <c r="AM54" s="71">
        <v>25</v>
      </c>
      <c r="AN54" s="94"/>
      <c r="AO54" s="71">
        <v>15</v>
      </c>
      <c r="AP54" s="71">
        <v>50</v>
      </c>
      <c r="AQ54" s="94" t="s">
        <v>1414</v>
      </c>
      <c r="AR54" s="94">
        <v>386</v>
      </c>
      <c r="AS54" s="79">
        <v>172831.5</v>
      </c>
      <c r="AT54" s="91">
        <v>466</v>
      </c>
      <c r="AU54" s="91">
        <v>172831.5</v>
      </c>
      <c r="AV54" s="213"/>
      <c r="AW54" s="214"/>
      <c r="AX54" s="211">
        <v>172831.5</v>
      </c>
      <c r="AY54" s="212"/>
    </row>
    <row r="55" spans="1:51" ht="22.5">
      <c r="A55" s="225" t="s">
        <v>1493</v>
      </c>
      <c r="B55" s="227" t="s">
        <v>1494</v>
      </c>
      <c r="C55" s="163">
        <v>107</v>
      </c>
      <c r="D55" s="188"/>
      <c r="E55" s="179"/>
      <c r="F55" s="185"/>
      <c r="G55" s="169"/>
      <c r="H55" s="165"/>
      <c r="I55" s="165">
        <f t="shared" si="0"/>
        <v>0</v>
      </c>
      <c r="J55" s="165">
        <f t="shared" si="1"/>
        <v>0</v>
      </c>
      <c r="K55" s="165">
        <f t="shared" si="2"/>
        <v>0</v>
      </c>
      <c r="L55" s="165"/>
      <c r="M55" s="166"/>
      <c r="N55" s="167"/>
      <c r="O55" s="165"/>
      <c r="P55" s="165">
        <f t="shared" si="3"/>
        <v>0</v>
      </c>
      <c r="Q55" s="165">
        <f t="shared" si="4"/>
        <v>0</v>
      </c>
      <c r="R55" s="165">
        <f t="shared" si="5"/>
        <v>0</v>
      </c>
      <c r="S55" s="71"/>
      <c r="T55" s="71"/>
      <c r="U55" s="91"/>
      <c r="V55" s="71"/>
      <c r="W55" s="71"/>
      <c r="X55" s="71"/>
      <c r="Y55" s="71"/>
      <c r="Z55" s="71"/>
      <c r="AA55" s="71"/>
      <c r="AB55" s="77"/>
      <c r="AC55" s="71"/>
      <c r="AD55" s="71"/>
      <c r="AE55" s="71"/>
      <c r="AF55" s="71"/>
      <c r="AG55" s="71"/>
      <c r="AH55" s="71"/>
      <c r="AI55" s="71"/>
      <c r="AJ55" s="71"/>
      <c r="AK55" s="71"/>
      <c r="AL55" s="71"/>
      <c r="AM55" s="71"/>
      <c r="AN55" s="94"/>
      <c r="AO55" s="71"/>
      <c r="AP55" s="71"/>
      <c r="AQ55" s="94"/>
      <c r="AR55" s="94"/>
      <c r="AS55" s="79"/>
      <c r="AT55" s="91"/>
      <c r="AU55" s="91"/>
      <c r="AV55" s="213"/>
      <c r="AW55" s="214"/>
      <c r="AX55" s="211"/>
      <c r="AY55" s="212"/>
    </row>
    <row r="56" spans="1:51" ht="22.5">
      <c r="A56" s="225" t="s">
        <v>1493</v>
      </c>
      <c r="B56" s="227" t="s">
        <v>1494</v>
      </c>
      <c r="C56" s="163">
        <v>112</v>
      </c>
      <c r="D56" s="188" t="s">
        <v>836</v>
      </c>
      <c r="E56" s="181" t="s">
        <v>837</v>
      </c>
      <c r="F56" s="185" t="s">
        <v>825</v>
      </c>
      <c r="G56" s="164">
        <v>246</v>
      </c>
      <c r="H56" s="165">
        <v>3551</v>
      </c>
      <c r="I56" s="165">
        <f t="shared" si="0"/>
        <v>355.1</v>
      </c>
      <c r="J56" s="165">
        <f t="shared" si="1"/>
        <v>67.469000000000008</v>
      </c>
      <c r="K56" s="165">
        <f t="shared" si="2"/>
        <v>3973.569</v>
      </c>
      <c r="L56" s="165">
        <v>1335</v>
      </c>
      <c r="M56" s="166">
        <v>0.25</v>
      </c>
      <c r="N56" s="167">
        <v>0.71803717262742883</v>
      </c>
      <c r="O56" s="165">
        <v>1001.25</v>
      </c>
      <c r="P56" s="165">
        <f t="shared" si="3"/>
        <v>100.125</v>
      </c>
      <c r="Q56" s="165">
        <f t="shared" si="4"/>
        <v>19.02375</v>
      </c>
      <c r="R56" s="165">
        <f t="shared" si="5"/>
        <v>1120.3987500000001</v>
      </c>
      <c r="S56" s="71">
        <v>35</v>
      </c>
      <c r="T56" s="71">
        <v>15</v>
      </c>
      <c r="U56" s="91">
        <v>15</v>
      </c>
      <c r="V56" s="71"/>
      <c r="W56" s="71">
        <v>15</v>
      </c>
      <c r="X56" s="71">
        <v>15</v>
      </c>
      <c r="Y56" s="71">
        <v>15</v>
      </c>
      <c r="Z56" s="71">
        <v>10</v>
      </c>
      <c r="AA56" s="71">
        <v>15</v>
      </c>
      <c r="AB56" s="71">
        <v>15</v>
      </c>
      <c r="AC56" s="71">
        <v>15</v>
      </c>
      <c r="AD56" s="71"/>
      <c r="AE56" s="71">
        <v>10</v>
      </c>
      <c r="AF56" s="71">
        <v>10</v>
      </c>
      <c r="AG56" s="71">
        <v>10</v>
      </c>
      <c r="AH56" s="71">
        <v>15</v>
      </c>
      <c r="AI56" s="71">
        <v>10</v>
      </c>
      <c r="AJ56" s="71">
        <v>10</v>
      </c>
      <c r="AK56" s="71"/>
      <c r="AL56" s="71">
        <v>5</v>
      </c>
      <c r="AM56" s="71"/>
      <c r="AN56" s="94"/>
      <c r="AO56" s="71">
        <v>15</v>
      </c>
      <c r="AP56" s="71">
        <v>20</v>
      </c>
      <c r="AQ56" s="71"/>
      <c r="AR56" s="71">
        <v>270</v>
      </c>
      <c r="AS56" s="79">
        <v>270337.5</v>
      </c>
      <c r="AT56" s="91">
        <v>246</v>
      </c>
      <c r="AU56" s="91">
        <v>246307.5</v>
      </c>
      <c r="AV56" s="213">
        <v>24</v>
      </c>
      <c r="AW56" s="215">
        <v>85224</v>
      </c>
      <c r="AX56" s="211">
        <v>331531.5</v>
      </c>
      <c r="AY56" s="212"/>
    </row>
    <row r="57" spans="1:51" ht="22.5">
      <c r="A57" s="225" t="s">
        <v>1493</v>
      </c>
      <c r="B57" s="227" t="s">
        <v>1494</v>
      </c>
      <c r="C57" s="163">
        <v>118</v>
      </c>
      <c r="D57" s="188" t="s">
        <v>848</v>
      </c>
      <c r="E57" s="181" t="s">
        <v>849</v>
      </c>
      <c r="F57" s="185" t="s">
        <v>825</v>
      </c>
      <c r="G57" s="169">
        <v>391</v>
      </c>
      <c r="H57" s="165">
        <v>4813</v>
      </c>
      <c r="I57" s="165">
        <f t="shared" si="0"/>
        <v>481.3</v>
      </c>
      <c r="J57" s="165">
        <f t="shared" si="1"/>
        <v>91.447000000000003</v>
      </c>
      <c r="K57" s="165">
        <f t="shared" si="2"/>
        <v>5385.7470000000003</v>
      </c>
      <c r="L57" s="165">
        <v>1545</v>
      </c>
      <c r="M57" s="166">
        <v>0.25</v>
      </c>
      <c r="N57" s="167">
        <v>0.75924579264491998</v>
      </c>
      <c r="O57" s="165">
        <v>1158.75</v>
      </c>
      <c r="P57" s="165">
        <f t="shared" si="3"/>
        <v>115.875</v>
      </c>
      <c r="Q57" s="165">
        <f t="shared" si="4"/>
        <v>22.016249999999999</v>
      </c>
      <c r="R57" s="165">
        <f t="shared" si="5"/>
        <v>1296.6412499999999</v>
      </c>
      <c r="S57" s="71">
        <v>50</v>
      </c>
      <c r="T57" s="71">
        <v>20</v>
      </c>
      <c r="U57" s="91">
        <v>20</v>
      </c>
      <c r="V57" s="71"/>
      <c r="W57" s="71">
        <v>20</v>
      </c>
      <c r="X57" s="71">
        <v>20</v>
      </c>
      <c r="Y57" s="71">
        <v>20</v>
      </c>
      <c r="Z57" s="71">
        <v>15</v>
      </c>
      <c r="AA57" s="71">
        <v>20</v>
      </c>
      <c r="AB57" s="71">
        <v>20</v>
      </c>
      <c r="AC57" s="71">
        <v>20</v>
      </c>
      <c r="AD57" s="71">
        <v>15</v>
      </c>
      <c r="AE57" s="71">
        <v>10</v>
      </c>
      <c r="AF57" s="71">
        <v>10</v>
      </c>
      <c r="AG57" s="71">
        <v>10</v>
      </c>
      <c r="AH57" s="71">
        <v>20</v>
      </c>
      <c r="AI57" s="71">
        <v>10</v>
      </c>
      <c r="AJ57" s="71">
        <v>5</v>
      </c>
      <c r="AK57" s="71">
        <v>15</v>
      </c>
      <c r="AL57" s="71">
        <v>6</v>
      </c>
      <c r="AM57" s="71">
        <v>40</v>
      </c>
      <c r="AN57" s="94"/>
      <c r="AO57" s="71"/>
      <c r="AP57" s="71">
        <v>40</v>
      </c>
      <c r="AQ57" s="71"/>
      <c r="AR57" s="71">
        <v>406</v>
      </c>
      <c r="AS57" s="79">
        <v>470452.5</v>
      </c>
      <c r="AT57" s="91">
        <v>391</v>
      </c>
      <c r="AU57" s="91">
        <v>453071.25</v>
      </c>
      <c r="AV57" s="213">
        <v>15</v>
      </c>
      <c r="AW57" s="215">
        <v>72195</v>
      </c>
      <c r="AX57" s="211">
        <v>525266.25</v>
      </c>
      <c r="AY57" s="212"/>
    </row>
    <row r="58" spans="1:51" ht="22.5">
      <c r="A58" s="225" t="s">
        <v>1493</v>
      </c>
      <c r="B58" s="227" t="s">
        <v>1494</v>
      </c>
      <c r="C58" s="163">
        <v>120</v>
      </c>
      <c r="D58" s="188" t="s">
        <v>852</v>
      </c>
      <c r="E58" s="181" t="s">
        <v>853</v>
      </c>
      <c r="F58" s="185" t="s">
        <v>825</v>
      </c>
      <c r="G58" s="169">
        <v>545</v>
      </c>
      <c r="H58" s="165">
        <v>4903</v>
      </c>
      <c r="I58" s="165">
        <f t="shared" si="0"/>
        <v>490.3</v>
      </c>
      <c r="J58" s="165">
        <f t="shared" si="1"/>
        <v>93.156999999999996</v>
      </c>
      <c r="K58" s="165">
        <f t="shared" si="2"/>
        <v>5486.4570000000003</v>
      </c>
      <c r="L58" s="165">
        <v>1633</v>
      </c>
      <c r="M58" s="166">
        <v>0.25</v>
      </c>
      <c r="N58" s="167">
        <v>0.75020395676116669</v>
      </c>
      <c r="O58" s="165">
        <v>1224.75</v>
      </c>
      <c r="P58" s="165">
        <f t="shared" si="3"/>
        <v>122.47500000000001</v>
      </c>
      <c r="Q58" s="165">
        <f t="shared" si="4"/>
        <v>23.270250000000001</v>
      </c>
      <c r="R58" s="165">
        <f t="shared" si="5"/>
        <v>1370.4952499999999</v>
      </c>
      <c r="S58" s="71">
        <v>30</v>
      </c>
      <c r="T58" s="71">
        <v>12</v>
      </c>
      <c r="U58" s="91">
        <v>12</v>
      </c>
      <c r="V58" s="71"/>
      <c r="W58" s="71">
        <v>12</v>
      </c>
      <c r="X58" s="77">
        <v>12</v>
      </c>
      <c r="Y58" s="71">
        <v>12</v>
      </c>
      <c r="Z58" s="71">
        <v>10</v>
      </c>
      <c r="AA58" s="71">
        <v>12</v>
      </c>
      <c r="AB58" s="71">
        <v>12</v>
      </c>
      <c r="AC58" s="71">
        <v>12</v>
      </c>
      <c r="AD58" s="71">
        <v>10</v>
      </c>
      <c r="AE58" s="71">
        <v>6</v>
      </c>
      <c r="AF58" s="71">
        <v>6</v>
      </c>
      <c r="AG58" s="71">
        <v>6</v>
      </c>
      <c r="AH58" s="71">
        <v>12</v>
      </c>
      <c r="AI58" s="71">
        <v>6</v>
      </c>
      <c r="AJ58" s="71">
        <v>5</v>
      </c>
      <c r="AK58" s="71"/>
      <c r="AL58" s="71">
        <v>6</v>
      </c>
      <c r="AM58" s="71"/>
      <c r="AN58" s="94"/>
      <c r="AO58" s="71"/>
      <c r="AP58" s="71">
        <v>20</v>
      </c>
      <c r="AQ58" s="71"/>
      <c r="AR58" s="71">
        <v>213</v>
      </c>
      <c r="AS58" s="79">
        <v>260871.75</v>
      </c>
      <c r="AT58" s="91">
        <v>545</v>
      </c>
      <c r="AU58" s="91">
        <v>260871.75</v>
      </c>
      <c r="AV58" s="213"/>
      <c r="AW58" s="214"/>
      <c r="AX58" s="211">
        <v>260871.75</v>
      </c>
      <c r="AY58" s="212"/>
    </row>
    <row r="59" spans="1:51" ht="22.5">
      <c r="A59" s="225" t="s">
        <v>1493</v>
      </c>
      <c r="B59" s="227" t="s">
        <v>1494</v>
      </c>
      <c r="C59" s="163">
        <v>125</v>
      </c>
      <c r="D59" s="189" t="s">
        <v>862</v>
      </c>
      <c r="E59" s="180" t="s">
        <v>863</v>
      </c>
      <c r="F59" s="185" t="s">
        <v>825</v>
      </c>
      <c r="G59" s="164">
        <v>409</v>
      </c>
      <c r="H59" s="165">
        <v>7034</v>
      </c>
      <c r="I59" s="165">
        <f t="shared" si="0"/>
        <v>703.40000000000009</v>
      </c>
      <c r="J59" s="165">
        <f t="shared" si="1"/>
        <v>133.64600000000002</v>
      </c>
      <c r="K59" s="165">
        <f t="shared" si="2"/>
        <v>7871.0459999999994</v>
      </c>
      <c r="L59" s="165">
        <v>3055</v>
      </c>
      <c r="M59" s="166">
        <v>0.25</v>
      </c>
      <c r="N59" s="167">
        <v>0.67426073357975547</v>
      </c>
      <c r="O59" s="165">
        <v>2291.25</v>
      </c>
      <c r="P59" s="165">
        <f t="shared" si="3"/>
        <v>229.125</v>
      </c>
      <c r="Q59" s="165">
        <f t="shared" si="4"/>
        <v>43.533749999999998</v>
      </c>
      <c r="R59" s="165">
        <f t="shared" si="5"/>
        <v>2563.9087500000001</v>
      </c>
      <c r="S59" s="71">
        <v>40</v>
      </c>
      <c r="T59" s="94">
        <v>8</v>
      </c>
      <c r="U59" s="191">
        <v>8</v>
      </c>
      <c r="V59" s="71"/>
      <c r="W59" s="94">
        <v>8</v>
      </c>
      <c r="X59" s="94">
        <v>8</v>
      </c>
      <c r="Y59" s="94">
        <v>8</v>
      </c>
      <c r="Z59" s="94">
        <v>8</v>
      </c>
      <c r="AA59" s="94">
        <v>8</v>
      </c>
      <c r="AB59" s="94">
        <v>8</v>
      </c>
      <c r="AC59" s="94">
        <v>8</v>
      </c>
      <c r="AD59" s="94">
        <v>8</v>
      </c>
      <c r="AE59" s="94">
        <v>4</v>
      </c>
      <c r="AF59" s="94">
        <v>4</v>
      </c>
      <c r="AG59" s="94">
        <v>4</v>
      </c>
      <c r="AH59" s="94">
        <v>8</v>
      </c>
      <c r="AI59" s="94">
        <v>4</v>
      </c>
      <c r="AJ59" s="94">
        <v>5</v>
      </c>
      <c r="AK59" s="94">
        <v>10</v>
      </c>
      <c r="AL59" s="94">
        <v>5</v>
      </c>
      <c r="AM59" s="94">
        <v>30</v>
      </c>
      <c r="AN59" s="94"/>
      <c r="AO59" s="71"/>
      <c r="AP59" s="94">
        <v>30</v>
      </c>
      <c r="AQ59" s="94">
        <v>5</v>
      </c>
      <c r="AR59" s="94" t="s">
        <v>1415</v>
      </c>
      <c r="AS59" s="201">
        <v>0</v>
      </c>
      <c r="AT59" s="91">
        <v>409</v>
      </c>
      <c r="AU59" s="191">
        <v>0</v>
      </c>
      <c r="AV59" s="213"/>
      <c r="AW59" s="214"/>
      <c r="AX59" s="200">
        <v>0</v>
      </c>
      <c r="AY59" s="212"/>
    </row>
    <row r="60" spans="1:51" ht="22.5">
      <c r="A60" s="225" t="s">
        <v>1493</v>
      </c>
      <c r="B60" s="227" t="s">
        <v>1494</v>
      </c>
      <c r="C60" s="163">
        <v>127</v>
      </c>
      <c r="D60" s="189" t="s">
        <v>866</v>
      </c>
      <c r="E60" s="180" t="s">
        <v>867</v>
      </c>
      <c r="F60" s="185" t="s">
        <v>825</v>
      </c>
      <c r="G60" s="164">
        <v>366</v>
      </c>
      <c r="H60" s="165">
        <v>7602</v>
      </c>
      <c r="I60" s="165">
        <f t="shared" si="0"/>
        <v>760.2</v>
      </c>
      <c r="J60" s="165">
        <f t="shared" si="1"/>
        <v>144.43800000000002</v>
      </c>
      <c r="K60" s="165">
        <f t="shared" si="2"/>
        <v>8506.6380000000008</v>
      </c>
      <c r="L60" s="165">
        <v>2331</v>
      </c>
      <c r="M60" s="166">
        <v>0.25</v>
      </c>
      <c r="N60" s="167">
        <v>0.7700276243093922</v>
      </c>
      <c r="O60" s="165">
        <v>1748.25</v>
      </c>
      <c r="P60" s="165">
        <f t="shared" si="3"/>
        <v>174.82500000000002</v>
      </c>
      <c r="Q60" s="165">
        <f t="shared" si="4"/>
        <v>33.216750000000005</v>
      </c>
      <c r="R60" s="165">
        <f t="shared" si="5"/>
        <v>1956.2917500000001</v>
      </c>
      <c r="S60" s="71">
        <v>30</v>
      </c>
      <c r="T60" s="94">
        <v>8</v>
      </c>
      <c r="U60" s="191">
        <v>8</v>
      </c>
      <c r="V60" s="71"/>
      <c r="W60" s="94">
        <v>8</v>
      </c>
      <c r="X60" s="94">
        <v>8</v>
      </c>
      <c r="Y60" s="94">
        <v>8</v>
      </c>
      <c r="Z60" s="94">
        <v>8</v>
      </c>
      <c r="AA60" s="94">
        <v>8</v>
      </c>
      <c r="AB60" s="94">
        <v>8</v>
      </c>
      <c r="AC60" s="94">
        <v>8</v>
      </c>
      <c r="AD60" s="94">
        <v>8</v>
      </c>
      <c r="AE60" s="94">
        <v>4</v>
      </c>
      <c r="AF60" s="94">
        <v>4</v>
      </c>
      <c r="AG60" s="94">
        <v>4</v>
      </c>
      <c r="AH60" s="94">
        <v>8</v>
      </c>
      <c r="AI60" s="94">
        <v>4</v>
      </c>
      <c r="AJ60" s="94">
        <v>5</v>
      </c>
      <c r="AK60" s="71"/>
      <c r="AL60" s="71"/>
      <c r="AM60" s="71"/>
      <c r="AN60" s="94"/>
      <c r="AO60" s="71"/>
      <c r="AP60" s="94">
        <v>10</v>
      </c>
      <c r="AQ60" s="71"/>
      <c r="AR60" s="94" t="s">
        <v>1416</v>
      </c>
      <c r="AS60" s="201">
        <v>0</v>
      </c>
      <c r="AT60" s="91">
        <v>366</v>
      </c>
      <c r="AU60" s="191">
        <v>0</v>
      </c>
      <c r="AV60" s="213"/>
      <c r="AW60" s="214"/>
      <c r="AX60" s="200">
        <v>0</v>
      </c>
      <c r="AY60" s="212"/>
    </row>
    <row r="61" spans="1:51">
      <c r="A61" s="230" t="s">
        <v>1453</v>
      </c>
      <c r="B61" s="230" t="s">
        <v>1454</v>
      </c>
      <c r="C61" s="163">
        <v>136</v>
      </c>
      <c r="D61" s="182" t="s">
        <v>886</v>
      </c>
      <c r="E61" s="178" t="s">
        <v>887</v>
      </c>
      <c r="F61" s="185" t="s">
        <v>874</v>
      </c>
      <c r="G61" s="164">
        <v>3</v>
      </c>
      <c r="H61" s="165">
        <v>9793</v>
      </c>
      <c r="I61" s="165">
        <f t="shared" si="0"/>
        <v>979.30000000000007</v>
      </c>
      <c r="J61" s="165">
        <f t="shared" si="1"/>
        <v>186.06700000000001</v>
      </c>
      <c r="K61" s="165">
        <f t="shared" si="2"/>
        <v>10958.366999999998</v>
      </c>
      <c r="L61" s="165">
        <v>7252</v>
      </c>
      <c r="M61" s="166">
        <v>0.19999999999999996</v>
      </c>
      <c r="N61" s="167">
        <v>0.40757684060042887</v>
      </c>
      <c r="O61" s="165">
        <v>5801.6</v>
      </c>
      <c r="P61" s="165">
        <f t="shared" si="3"/>
        <v>580.16000000000008</v>
      </c>
      <c r="Q61" s="165">
        <f t="shared" si="4"/>
        <v>110.23040000000002</v>
      </c>
      <c r="R61" s="165">
        <f t="shared" si="5"/>
        <v>6491.9904000000006</v>
      </c>
      <c r="S61" s="71">
        <v>5</v>
      </c>
      <c r="T61" s="71"/>
      <c r="U61" s="91"/>
      <c r="V61" s="71"/>
      <c r="W61" s="71"/>
      <c r="X61" s="71"/>
      <c r="Y61" s="71"/>
      <c r="Z61" s="71"/>
      <c r="AA61" s="71"/>
      <c r="AB61" s="71"/>
      <c r="AC61" s="71"/>
      <c r="AD61" s="71"/>
      <c r="AE61" s="71"/>
      <c r="AF61" s="71"/>
      <c r="AG61" s="71"/>
      <c r="AH61" s="71"/>
      <c r="AI61" s="71"/>
      <c r="AJ61" s="71"/>
      <c r="AK61" s="71"/>
      <c r="AL61" s="71"/>
      <c r="AM61" s="71"/>
      <c r="AN61" s="94"/>
      <c r="AO61" s="71"/>
      <c r="AP61" s="71"/>
      <c r="AQ61" s="71"/>
      <c r="AR61" s="71">
        <v>5</v>
      </c>
      <c r="AS61" s="79">
        <v>29008</v>
      </c>
      <c r="AT61" s="91">
        <v>3</v>
      </c>
      <c r="AU61" s="91">
        <v>17404.800000000003</v>
      </c>
      <c r="AV61" s="213">
        <v>2</v>
      </c>
      <c r="AW61" s="215">
        <v>19586</v>
      </c>
      <c r="AX61" s="211">
        <v>36990.800000000003</v>
      </c>
      <c r="AY61" s="212"/>
    </row>
    <row r="62" spans="1:51">
      <c r="A62" s="230" t="s">
        <v>1453</v>
      </c>
      <c r="B62" s="230" t="s">
        <v>1454</v>
      </c>
      <c r="C62" s="163">
        <v>138</v>
      </c>
      <c r="D62" s="182" t="s">
        <v>890</v>
      </c>
      <c r="E62" s="178" t="s">
        <v>891</v>
      </c>
      <c r="F62" s="185" t="s">
        <v>874</v>
      </c>
      <c r="G62" s="164">
        <v>3</v>
      </c>
      <c r="H62" s="165">
        <v>6044</v>
      </c>
      <c r="I62" s="165">
        <f t="shared" si="0"/>
        <v>604.4</v>
      </c>
      <c r="J62" s="165">
        <f t="shared" si="1"/>
        <v>114.836</v>
      </c>
      <c r="K62" s="165">
        <f t="shared" si="2"/>
        <v>6763.2359999999999</v>
      </c>
      <c r="L62" s="165">
        <v>2720</v>
      </c>
      <c r="M62" s="166">
        <v>0.2</v>
      </c>
      <c r="N62" s="167">
        <v>0.63997352746525482</v>
      </c>
      <c r="O62" s="165">
        <v>2176</v>
      </c>
      <c r="P62" s="165">
        <f t="shared" si="3"/>
        <v>217.60000000000002</v>
      </c>
      <c r="Q62" s="165">
        <f t="shared" si="4"/>
        <v>41.344000000000008</v>
      </c>
      <c r="R62" s="165">
        <f t="shared" si="5"/>
        <v>2434.944</v>
      </c>
      <c r="S62" s="71">
        <v>5</v>
      </c>
      <c r="T62" s="71"/>
      <c r="U62" s="91"/>
      <c r="V62" s="71"/>
      <c r="W62" s="71"/>
      <c r="X62" s="71"/>
      <c r="Y62" s="71"/>
      <c r="Z62" s="71"/>
      <c r="AA62" s="71"/>
      <c r="AB62" s="71"/>
      <c r="AC62" s="71"/>
      <c r="AD62" s="71"/>
      <c r="AE62" s="71"/>
      <c r="AF62" s="71"/>
      <c r="AG62" s="71"/>
      <c r="AH62" s="71"/>
      <c r="AI62" s="71"/>
      <c r="AJ62" s="71"/>
      <c r="AK62" s="71"/>
      <c r="AL62" s="71"/>
      <c r="AM62" s="71"/>
      <c r="AN62" s="94"/>
      <c r="AO62" s="71"/>
      <c r="AP62" s="71"/>
      <c r="AQ62" s="71"/>
      <c r="AR62" s="71">
        <v>5</v>
      </c>
      <c r="AS62" s="79">
        <v>10880</v>
      </c>
      <c r="AT62" s="91">
        <v>3</v>
      </c>
      <c r="AU62" s="91">
        <v>6528</v>
      </c>
      <c r="AV62" s="213">
        <v>2</v>
      </c>
      <c r="AW62" s="215">
        <v>12088</v>
      </c>
      <c r="AX62" s="211">
        <v>18616</v>
      </c>
      <c r="AY62" s="212"/>
    </row>
    <row r="63" spans="1:51" ht="22.5">
      <c r="A63" s="225" t="s">
        <v>1457</v>
      </c>
      <c r="B63" s="227" t="s">
        <v>1458</v>
      </c>
      <c r="C63" s="163">
        <v>141</v>
      </c>
      <c r="D63" s="182"/>
      <c r="E63" s="178"/>
      <c r="F63" s="185"/>
      <c r="G63" s="164"/>
      <c r="H63" s="165"/>
      <c r="I63" s="165">
        <f t="shared" si="0"/>
        <v>0</v>
      </c>
      <c r="J63" s="165">
        <f t="shared" si="1"/>
        <v>0</v>
      </c>
      <c r="K63" s="165">
        <f t="shared" si="2"/>
        <v>0</v>
      </c>
      <c r="L63" s="165"/>
      <c r="M63" s="166"/>
      <c r="N63" s="167"/>
      <c r="O63" s="165"/>
      <c r="P63" s="165">
        <f t="shared" si="3"/>
        <v>0</v>
      </c>
      <c r="Q63" s="165">
        <f t="shared" si="4"/>
        <v>0</v>
      </c>
      <c r="R63" s="165">
        <f t="shared" si="5"/>
        <v>0</v>
      </c>
      <c r="S63" s="71"/>
      <c r="T63" s="71"/>
      <c r="U63" s="91"/>
      <c r="V63" s="71"/>
      <c r="W63" s="71"/>
      <c r="X63" s="71"/>
      <c r="Y63" s="71"/>
      <c r="Z63" s="71"/>
      <c r="AA63" s="71"/>
      <c r="AB63" s="71"/>
      <c r="AC63" s="71"/>
      <c r="AD63" s="71"/>
      <c r="AE63" s="71"/>
      <c r="AF63" s="71"/>
      <c r="AG63" s="71"/>
      <c r="AH63" s="71"/>
      <c r="AI63" s="71"/>
      <c r="AJ63" s="71"/>
      <c r="AK63" s="71"/>
      <c r="AL63" s="71"/>
      <c r="AM63" s="71"/>
      <c r="AN63" s="94"/>
      <c r="AO63" s="71"/>
      <c r="AP63" s="71"/>
      <c r="AQ63" s="71"/>
      <c r="AR63" s="71"/>
      <c r="AS63" s="79"/>
      <c r="AT63" s="91"/>
      <c r="AU63" s="91"/>
      <c r="AV63" s="213"/>
      <c r="AW63" s="215"/>
      <c r="AX63" s="211"/>
      <c r="AY63" s="212"/>
    </row>
    <row r="64" spans="1:51" ht="22.5">
      <c r="A64" s="225" t="s">
        <v>1457</v>
      </c>
      <c r="B64" s="227" t="s">
        <v>1458</v>
      </c>
      <c r="C64" s="163">
        <v>143</v>
      </c>
      <c r="D64" s="182" t="s">
        <v>902</v>
      </c>
      <c r="E64" s="178" t="s">
        <v>903</v>
      </c>
      <c r="F64" s="185" t="s">
        <v>899</v>
      </c>
      <c r="G64" s="164">
        <v>1385</v>
      </c>
      <c r="H64" s="165">
        <v>16478</v>
      </c>
      <c r="I64" s="165">
        <f t="shared" si="0"/>
        <v>1647.8000000000002</v>
      </c>
      <c r="J64" s="165">
        <f t="shared" si="1"/>
        <v>313.08200000000005</v>
      </c>
      <c r="K64" s="165">
        <f t="shared" si="2"/>
        <v>18438.881999999998</v>
      </c>
      <c r="L64" s="165">
        <v>8448</v>
      </c>
      <c r="M64" s="166">
        <v>0.25</v>
      </c>
      <c r="N64" s="167">
        <v>0.61548731642189591</v>
      </c>
      <c r="O64" s="165">
        <v>6336</v>
      </c>
      <c r="P64" s="165">
        <f t="shared" si="3"/>
        <v>633.6</v>
      </c>
      <c r="Q64" s="165">
        <f t="shared" si="4"/>
        <v>120.384</v>
      </c>
      <c r="R64" s="165">
        <f t="shared" si="5"/>
        <v>7089.9840000000004</v>
      </c>
      <c r="S64" s="71">
        <v>160</v>
      </c>
      <c r="T64" s="71">
        <v>40</v>
      </c>
      <c r="U64" s="91">
        <v>40</v>
      </c>
      <c r="V64" s="71"/>
      <c r="W64" s="71">
        <v>100</v>
      </c>
      <c r="X64" s="71">
        <v>80</v>
      </c>
      <c r="Y64" s="71">
        <v>60</v>
      </c>
      <c r="Z64" s="71">
        <v>10</v>
      </c>
      <c r="AA64" s="71">
        <v>80</v>
      </c>
      <c r="AB64" s="71">
        <v>60</v>
      </c>
      <c r="AC64" s="71">
        <v>80</v>
      </c>
      <c r="AD64" s="71">
        <v>20</v>
      </c>
      <c r="AE64" s="71">
        <v>40</v>
      </c>
      <c r="AF64" s="71">
        <v>40</v>
      </c>
      <c r="AG64" s="71">
        <v>40</v>
      </c>
      <c r="AH64" s="71">
        <v>60</v>
      </c>
      <c r="AI64" s="71">
        <v>20</v>
      </c>
      <c r="AJ64" s="71">
        <v>30</v>
      </c>
      <c r="AK64" s="71">
        <v>30</v>
      </c>
      <c r="AL64" s="71">
        <v>30</v>
      </c>
      <c r="AM64" s="71">
        <v>35</v>
      </c>
      <c r="AN64" s="94"/>
      <c r="AO64" s="71">
        <v>30</v>
      </c>
      <c r="AP64" s="71"/>
      <c r="AQ64" s="94" t="s">
        <v>1413</v>
      </c>
      <c r="AR64" s="94">
        <v>1085</v>
      </c>
      <c r="AS64" s="79">
        <v>6874560</v>
      </c>
      <c r="AT64" s="91">
        <v>1385</v>
      </c>
      <c r="AU64" s="91">
        <v>6874560</v>
      </c>
      <c r="AV64" s="213"/>
      <c r="AW64" s="214"/>
      <c r="AX64" s="211">
        <v>6874560</v>
      </c>
      <c r="AY64" s="212"/>
    </row>
    <row r="65" spans="1:51">
      <c r="A65" s="225" t="s">
        <v>1463</v>
      </c>
      <c r="B65" s="227" t="s">
        <v>1464</v>
      </c>
      <c r="C65" s="163">
        <v>151</v>
      </c>
      <c r="D65" s="182" t="s">
        <v>918</v>
      </c>
      <c r="E65" s="177" t="s">
        <v>919</v>
      </c>
      <c r="F65" s="185" t="s">
        <v>1</v>
      </c>
      <c r="G65" s="164">
        <v>1690</v>
      </c>
      <c r="H65" s="165">
        <v>8581</v>
      </c>
      <c r="I65" s="165">
        <f t="shared" si="0"/>
        <v>858.1</v>
      </c>
      <c r="J65" s="165">
        <f t="shared" si="1"/>
        <v>163.03900000000002</v>
      </c>
      <c r="K65" s="165">
        <f t="shared" si="2"/>
        <v>9602.139000000001</v>
      </c>
      <c r="L65" s="165">
        <v>5803</v>
      </c>
      <c r="M65" s="166">
        <v>0.25</v>
      </c>
      <c r="N65" s="167">
        <v>0.4928038690129356</v>
      </c>
      <c r="O65" s="165">
        <v>4352.25</v>
      </c>
      <c r="P65" s="165">
        <f t="shared" si="3"/>
        <v>435.22500000000002</v>
      </c>
      <c r="Q65" s="165">
        <f t="shared" si="4"/>
        <v>82.692750000000004</v>
      </c>
      <c r="R65" s="165">
        <f t="shared" si="5"/>
        <v>4870.1677500000005</v>
      </c>
      <c r="S65" s="77">
        <v>450</v>
      </c>
      <c r="T65" s="71">
        <v>40</v>
      </c>
      <c r="U65" s="91">
        <v>40</v>
      </c>
      <c r="V65" s="71"/>
      <c r="W65" s="71">
        <v>80</v>
      </c>
      <c r="X65" s="71">
        <v>80</v>
      </c>
      <c r="Y65" s="71">
        <v>60</v>
      </c>
      <c r="Z65" s="71"/>
      <c r="AA65" s="71">
        <v>80</v>
      </c>
      <c r="AB65" s="71">
        <v>60</v>
      </c>
      <c r="AC65" s="71">
        <v>80</v>
      </c>
      <c r="AD65" s="71">
        <v>20</v>
      </c>
      <c r="AE65" s="71">
        <v>40</v>
      </c>
      <c r="AF65" s="71">
        <v>40</v>
      </c>
      <c r="AG65" s="71">
        <v>40</v>
      </c>
      <c r="AH65" s="71">
        <v>60</v>
      </c>
      <c r="AI65" s="71">
        <v>20</v>
      </c>
      <c r="AJ65" s="71">
        <v>20</v>
      </c>
      <c r="AK65" s="71">
        <v>40</v>
      </c>
      <c r="AL65" s="71">
        <v>30</v>
      </c>
      <c r="AM65" s="71">
        <v>40</v>
      </c>
      <c r="AN65" s="94"/>
      <c r="AO65" s="71"/>
      <c r="AP65" s="71">
        <v>30</v>
      </c>
      <c r="AQ65" s="94" t="s">
        <v>1417</v>
      </c>
      <c r="AR65" s="94">
        <v>1350</v>
      </c>
      <c r="AS65" s="79">
        <v>5875537.5</v>
      </c>
      <c r="AT65" s="91">
        <v>1690</v>
      </c>
      <c r="AU65" s="91">
        <v>5875537.5</v>
      </c>
      <c r="AV65" s="213"/>
      <c r="AW65" s="214"/>
      <c r="AX65" s="211">
        <v>5875537.5</v>
      </c>
      <c r="AY65" s="212"/>
    </row>
    <row r="66" spans="1:51">
      <c r="A66" s="225" t="s">
        <v>1463</v>
      </c>
      <c r="B66" s="227" t="s">
        <v>1464</v>
      </c>
      <c r="C66" s="163">
        <v>152</v>
      </c>
      <c r="D66" s="182"/>
      <c r="E66" s="177"/>
      <c r="F66" s="185"/>
      <c r="G66" s="164"/>
      <c r="H66" s="165"/>
      <c r="I66" s="165">
        <f t="shared" si="0"/>
        <v>0</v>
      </c>
      <c r="J66" s="165">
        <f t="shared" si="1"/>
        <v>0</v>
      </c>
      <c r="K66" s="165">
        <f t="shared" si="2"/>
        <v>0</v>
      </c>
      <c r="L66" s="165"/>
      <c r="M66" s="166"/>
      <c r="N66" s="167"/>
      <c r="O66" s="165"/>
      <c r="P66" s="165">
        <f t="shared" si="3"/>
        <v>0</v>
      </c>
      <c r="Q66" s="165">
        <f t="shared" si="4"/>
        <v>0</v>
      </c>
      <c r="R66" s="165">
        <f t="shared" si="5"/>
        <v>0</v>
      </c>
      <c r="S66" s="77"/>
      <c r="T66" s="71"/>
      <c r="U66" s="91"/>
      <c r="V66" s="71"/>
      <c r="W66" s="71"/>
      <c r="X66" s="71"/>
      <c r="Y66" s="71"/>
      <c r="Z66" s="71"/>
      <c r="AA66" s="71"/>
      <c r="AB66" s="71"/>
      <c r="AC66" s="71"/>
      <c r="AD66" s="71"/>
      <c r="AE66" s="71"/>
      <c r="AF66" s="71"/>
      <c r="AG66" s="71"/>
      <c r="AH66" s="71"/>
      <c r="AI66" s="71"/>
      <c r="AJ66" s="71"/>
      <c r="AK66" s="71"/>
      <c r="AL66" s="71"/>
      <c r="AM66" s="71"/>
      <c r="AN66" s="94"/>
      <c r="AO66" s="71"/>
      <c r="AP66" s="71"/>
      <c r="AQ66" s="94"/>
      <c r="AR66" s="94"/>
      <c r="AS66" s="79"/>
      <c r="AT66" s="91"/>
      <c r="AU66" s="91"/>
      <c r="AV66" s="213"/>
      <c r="AW66" s="214"/>
      <c r="AX66" s="211"/>
      <c r="AY66" s="212"/>
    </row>
    <row r="67" spans="1:51">
      <c r="A67" s="225" t="s">
        <v>1461</v>
      </c>
      <c r="B67" s="227" t="s">
        <v>1462</v>
      </c>
      <c r="C67" s="163">
        <v>154</v>
      </c>
      <c r="D67" s="182" t="s">
        <v>924</v>
      </c>
      <c r="E67" s="177" t="s">
        <v>925</v>
      </c>
      <c r="F67" s="185" t="s">
        <v>894</v>
      </c>
      <c r="G67" s="164">
        <v>5</v>
      </c>
      <c r="H67" s="165">
        <v>5289</v>
      </c>
      <c r="I67" s="165">
        <f t="shared" ref="I67:I97" si="6">+H67*10%</f>
        <v>528.9</v>
      </c>
      <c r="J67" s="165">
        <f t="shared" ref="J67:J97" si="7">+I67*19%</f>
        <v>100.491</v>
      </c>
      <c r="K67" s="165">
        <f t="shared" ref="K67:K97" si="8">+H67+I67+J67</f>
        <v>5918.3909999999996</v>
      </c>
      <c r="L67" s="165">
        <v>2779</v>
      </c>
      <c r="M67" s="166">
        <v>0.20000000000000007</v>
      </c>
      <c r="N67" s="167">
        <v>0.57965588958215175</v>
      </c>
      <c r="O67" s="165">
        <v>2223.1999999999998</v>
      </c>
      <c r="P67" s="165">
        <f t="shared" ref="P67:P97" si="9">+O67*10%</f>
        <v>222.32</v>
      </c>
      <c r="Q67" s="165">
        <f t="shared" ref="Q67:Q97" si="10">+P67*19%</f>
        <v>42.2408</v>
      </c>
      <c r="R67" s="165">
        <f t="shared" ref="R67:R97" si="11">+O67+P67+Q67</f>
        <v>2487.7608</v>
      </c>
      <c r="S67" s="71">
        <v>5</v>
      </c>
      <c r="T67" s="71"/>
      <c r="U67" s="91"/>
      <c r="V67" s="71"/>
      <c r="W67" s="71"/>
      <c r="X67" s="71"/>
      <c r="Y67" s="71"/>
      <c r="Z67" s="71"/>
      <c r="AA67" s="71"/>
      <c r="AB67" s="71"/>
      <c r="AC67" s="71"/>
      <c r="AD67" s="71"/>
      <c r="AE67" s="71"/>
      <c r="AF67" s="71"/>
      <c r="AG67" s="71"/>
      <c r="AH67" s="71"/>
      <c r="AI67" s="71"/>
      <c r="AJ67" s="71"/>
      <c r="AK67" s="71"/>
      <c r="AL67" s="71"/>
      <c r="AM67" s="71"/>
      <c r="AN67" s="94"/>
      <c r="AO67" s="71"/>
      <c r="AP67" s="71"/>
      <c r="AQ67" s="71"/>
      <c r="AR67" s="71">
        <v>5</v>
      </c>
      <c r="AS67" s="79">
        <v>11116</v>
      </c>
      <c r="AT67" s="91">
        <v>5</v>
      </c>
      <c r="AU67" s="91">
        <v>11116</v>
      </c>
      <c r="AV67" s="213"/>
      <c r="AW67" s="214"/>
      <c r="AX67" s="211">
        <v>11116</v>
      </c>
      <c r="AY67" s="212"/>
    </row>
    <row r="68" spans="1:51">
      <c r="A68" s="225" t="s">
        <v>1465</v>
      </c>
      <c r="B68" s="225" t="s">
        <v>1466</v>
      </c>
      <c r="C68" s="163">
        <v>156</v>
      </c>
      <c r="D68" s="182" t="s">
        <v>929</v>
      </c>
      <c r="E68" s="177" t="s">
        <v>930</v>
      </c>
      <c r="F68" s="185" t="s">
        <v>931</v>
      </c>
      <c r="G68" s="164">
        <v>679</v>
      </c>
      <c r="H68" s="165">
        <v>10917</v>
      </c>
      <c r="I68" s="165">
        <f t="shared" si="6"/>
        <v>1091.7</v>
      </c>
      <c r="J68" s="165">
        <f t="shared" si="7"/>
        <v>207.423</v>
      </c>
      <c r="K68" s="165">
        <f t="shared" si="8"/>
        <v>12216.123000000001</v>
      </c>
      <c r="L68" s="165">
        <v>5342</v>
      </c>
      <c r="M68" s="166">
        <v>0.25</v>
      </c>
      <c r="N68" s="167">
        <v>0.63300357241000271</v>
      </c>
      <c r="O68" s="165">
        <v>4006.5</v>
      </c>
      <c r="P68" s="165">
        <f t="shared" si="9"/>
        <v>400.65000000000003</v>
      </c>
      <c r="Q68" s="165">
        <f t="shared" si="10"/>
        <v>76.123500000000007</v>
      </c>
      <c r="R68" s="165">
        <f t="shared" si="11"/>
        <v>4483.2734999999993</v>
      </c>
      <c r="S68" s="71">
        <v>50</v>
      </c>
      <c r="T68" s="71">
        <v>4</v>
      </c>
      <c r="U68" s="91">
        <v>4</v>
      </c>
      <c r="V68" s="71"/>
      <c r="W68" s="71">
        <v>4</v>
      </c>
      <c r="X68" s="71">
        <v>4</v>
      </c>
      <c r="Y68" s="71">
        <v>4</v>
      </c>
      <c r="Z68" s="71">
        <v>4</v>
      </c>
      <c r="AA68" s="71">
        <v>4</v>
      </c>
      <c r="AB68" s="77">
        <v>4</v>
      </c>
      <c r="AC68" s="71">
        <v>4</v>
      </c>
      <c r="AD68" s="71">
        <v>4</v>
      </c>
      <c r="AE68" s="71">
        <v>2</v>
      </c>
      <c r="AF68" s="71">
        <v>2</v>
      </c>
      <c r="AG68" s="71">
        <v>2</v>
      </c>
      <c r="AH68" s="71">
        <v>4</v>
      </c>
      <c r="AI68" s="71">
        <v>2</v>
      </c>
      <c r="AJ68" s="71">
        <v>25</v>
      </c>
      <c r="AK68" s="71">
        <v>70</v>
      </c>
      <c r="AL68" s="71">
        <v>15</v>
      </c>
      <c r="AM68" s="71">
        <v>30</v>
      </c>
      <c r="AN68" s="94" t="s">
        <v>1418</v>
      </c>
      <c r="AO68" s="71">
        <v>30</v>
      </c>
      <c r="AP68" s="71">
        <v>20</v>
      </c>
      <c r="AQ68" s="71"/>
      <c r="AR68" s="71">
        <v>292</v>
      </c>
      <c r="AS68" s="79">
        <v>1169898</v>
      </c>
      <c r="AT68" s="91">
        <v>679</v>
      </c>
      <c r="AU68" s="91">
        <v>1169898</v>
      </c>
      <c r="AV68" s="213"/>
      <c r="AW68" s="214"/>
      <c r="AX68" s="211">
        <v>1169898</v>
      </c>
      <c r="AY68" s="212"/>
    </row>
    <row r="69" spans="1:51">
      <c r="A69" s="225" t="s">
        <v>1465</v>
      </c>
      <c r="B69" s="225" t="s">
        <v>1466</v>
      </c>
      <c r="C69" s="163">
        <v>157</v>
      </c>
      <c r="D69" s="182" t="s">
        <v>932</v>
      </c>
      <c r="E69" s="177" t="s">
        <v>933</v>
      </c>
      <c r="F69" s="185" t="s">
        <v>934</v>
      </c>
      <c r="G69" s="164">
        <v>614</v>
      </c>
      <c r="H69" s="165">
        <v>11891</v>
      </c>
      <c r="I69" s="165">
        <f t="shared" si="6"/>
        <v>1189.1000000000001</v>
      </c>
      <c r="J69" s="165">
        <f t="shared" si="7"/>
        <v>225.92900000000003</v>
      </c>
      <c r="K69" s="165">
        <f t="shared" si="8"/>
        <v>13306.029</v>
      </c>
      <c r="L69" s="165">
        <v>7965</v>
      </c>
      <c r="M69" s="166">
        <v>0.25</v>
      </c>
      <c r="N69" s="167">
        <v>0.49762425363720464</v>
      </c>
      <c r="O69" s="165">
        <v>5973.75</v>
      </c>
      <c r="P69" s="165">
        <f t="shared" si="9"/>
        <v>597.375</v>
      </c>
      <c r="Q69" s="165">
        <f t="shared" si="10"/>
        <v>113.50125</v>
      </c>
      <c r="R69" s="165">
        <f t="shared" si="11"/>
        <v>6684.6262500000003</v>
      </c>
      <c r="S69" s="71"/>
      <c r="T69" s="71"/>
      <c r="U69" s="91"/>
      <c r="V69" s="71"/>
      <c r="W69" s="71"/>
      <c r="X69" s="71"/>
      <c r="Y69" s="71"/>
      <c r="Z69" s="71"/>
      <c r="AA69" s="71"/>
      <c r="AB69" s="71"/>
      <c r="AC69" s="71"/>
      <c r="AD69" s="71"/>
      <c r="AE69" s="71"/>
      <c r="AF69" s="71"/>
      <c r="AG69" s="71"/>
      <c r="AH69" s="71"/>
      <c r="AI69" s="71"/>
      <c r="AJ69" s="71"/>
      <c r="AK69" s="71">
        <v>30</v>
      </c>
      <c r="AL69" s="71">
        <v>10</v>
      </c>
      <c r="AM69" s="71">
        <v>20</v>
      </c>
      <c r="AN69" s="94"/>
      <c r="AO69" s="71"/>
      <c r="AP69" s="71">
        <v>30</v>
      </c>
      <c r="AQ69" s="94" t="s">
        <v>1413</v>
      </c>
      <c r="AR69" s="94">
        <v>90</v>
      </c>
      <c r="AS69" s="79">
        <v>537637.5</v>
      </c>
      <c r="AT69" s="91">
        <v>614</v>
      </c>
      <c r="AU69" s="91">
        <v>537637.5</v>
      </c>
      <c r="AV69" s="213"/>
      <c r="AW69" s="214"/>
      <c r="AX69" s="211">
        <v>537637.5</v>
      </c>
      <c r="AY69" s="212"/>
    </row>
    <row r="70" spans="1:51">
      <c r="A70" s="225" t="s">
        <v>1465</v>
      </c>
      <c r="B70" s="225" t="s">
        <v>1466</v>
      </c>
      <c r="C70" s="163">
        <v>158</v>
      </c>
      <c r="D70" s="182" t="s">
        <v>935</v>
      </c>
      <c r="E70" s="177" t="s">
        <v>936</v>
      </c>
      <c r="F70" s="185" t="s">
        <v>928</v>
      </c>
      <c r="G70" s="164">
        <v>95</v>
      </c>
      <c r="H70" s="165">
        <v>14539</v>
      </c>
      <c r="I70" s="165">
        <f t="shared" si="6"/>
        <v>1453.9</v>
      </c>
      <c r="J70" s="165">
        <f t="shared" si="7"/>
        <v>276.24100000000004</v>
      </c>
      <c r="K70" s="165">
        <f t="shared" si="8"/>
        <v>16269.141</v>
      </c>
      <c r="L70" s="165">
        <v>8139</v>
      </c>
      <c r="M70" s="166">
        <v>0.25</v>
      </c>
      <c r="N70" s="167">
        <v>0.58014650251048905</v>
      </c>
      <c r="O70" s="165">
        <v>6104.25</v>
      </c>
      <c r="P70" s="165">
        <f t="shared" si="9"/>
        <v>610.42500000000007</v>
      </c>
      <c r="Q70" s="165">
        <f t="shared" si="10"/>
        <v>115.98075000000001</v>
      </c>
      <c r="R70" s="165">
        <f t="shared" si="11"/>
        <v>6830.6557499999999</v>
      </c>
      <c r="S70" s="71">
        <v>50</v>
      </c>
      <c r="T70" s="71">
        <v>4</v>
      </c>
      <c r="U70" s="91">
        <v>4</v>
      </c>
      <c r="V70" s="71"/>
      <c r="W70" s="71">
        <v>4</v>
      </c>
      <c r="X70" s="71">
        <v>4</v>
      </c>
      <c r="Y70" s="71">
        <v>4</v>
      </c>
      <c r="Z70" s="71">
        <v>4</v>
      </c>
      <c r="AA70" s="71">
        <v>4</v>
      </c>
      <c r="AB70" s="94" t="s">
        <v>1419</v>
      </c>
      <c r="AC70" s="71">
        <v>4</v>
      </c>
      <c r="AD70" s="71">
        <v>4</v>
      </c>
      <c r="AE70" s="71">
        <v>2</v>
      </c>
      <c r="AF70" s="71">
        <v>2</v>
      </c>
      <c r="AG70" s="71">
        <v>2</v>
      </c>
      <c r="AH70" s="71">
        <v>4</v>
      </c>
      <c r="AI70" s="71">
        <v>2</v>
      </c>
      <c r="AJ70" s="71">
        <v>10</v>
      </c>
      <c r="AK70" s="71">
        <v>10</v>
      </c>
      <c r="AL70" s="71">
        <v>2</v>
      </c>
      <c r="AM70" s="71">
        <v>30</v>
      </c>
      <c r="AN70" s="94"/>
      <c r="AO70" s="71"/>
      <c r="AP70" s="71">
        <v>15</v>
      </c>
      <c r="AQ70" s="94" t="s">
        <v>1413</v>
      </c>
      <c r="AR70" s="94">
        <v>165</v>
      </c>
      <c r="AS70" s="79">
        <v>1007201.25</v>
      </c>
      <c r="AT70" s="91">
        <v>95</v>
      </c>
      <c r="AU70" s="91">
        <v>579903.75</v>
      </c>
      <c r="AV70" s="213">
        <v>70</v>
      </c>
      <c r="AW70" s="215">
        <v>1017730</v>
      </c>
      <c r="AX70" s="211">
        <v>1597633.75</v>
      </c>
      <c r="AY70" s="212"/>
    </row>
    <row r="71" spans="1:51">
      <c r="A71" s="225" t="s">
        <v>1455</v>
      </c>
      <c r="B71" s="225" t="s">
        <v>1456</v>
      </c>
      <c r="C71" s="163">
        <v>159</v>
      </c>
      <c r="D71" s="182" t="s">
        <v>937</v>
      </c>
      <c r="E71" s="177" t="s">
        <v>938</v>
      </c>
      <c r="F71" s="185" t="s">
        <v>939</v>
      </c>
      <c r="G71" s="164">
        <v>112</v>
      </c>
      <c r="H71" s="165">
        <v>6639</v>
      </c>
      <c r="I71" s="165">
        <f t="shared" si="6"/>
        <v>663.90000000000009</v>
      </c>
      <c r="J71" s="165">
        <f t="shared" si="7"/>
        <v>126.14100000000002</v>
      </c>
      <c r="K71" s="165">
        <f t="shared" si="8"/>
        <v>7429.0409999999993</v>
      </c>
      <c r="L71" s="165">
        <v>2457</v>
      </c>
      <c r="M71" s="166">
        <v>0.25</v>
      </c>
      <c r="N71" s="167">
        <v>0.72243560777225491</v>
      </c>
      <c r="O71" s="165">
        <v>1842.75</v>
      </c>
      <c r="P71" s="165">
        <f t="shared" si="9"/>
        <v>184.27500000000001</v>
      </c>
      <c r="Q71" s="165">
        <f t="shared" si="10"/>
        <v>35.012250000000002</v>
      </c>
      <c r="R71" s="165">
        <f t="shared" si="11"/>
        <v>2062.0372500000003</v>
      </c>
      <c r="S71" s="71">
        <v>15</v>
      </c>
      <c r="T71" s="71">
        <v>4</v>
      </c>
      <c r="U71" s="91">
        <v>4</v>
      </c>
      <c r="V71" s="71">
        <v>4</v>
      </c>
      <c r="W71" s="71">
        <v>4</v>
      </c>
      <c r="X71" s="71">
        <v>4</v>
      </c>
      <c r="Y71" s="71">
        <v>4</v>
      </c>
      <c r="Z71" s="71">
        <v>4</v>
      </c>
      <c r="AA71" s="71"/>
      <c r="AB71" s="71">
        <v>4</v>
      </c>
      <c r="AC71" s="71">
        <v>4</v>
      </c>
      <c r="AD71" s="71"/>
      <c r="AE71" s="71">
        <v>2</v>
      </c>
      <c r="AF71" s="71">
        <v>2</v>
      </c>
      <c r="AG71" s="71">
        <v>2</v>
      </c>
      <c r="AH71" s="71">
        <v>4</v>
      </c>
      <c r="AI71" s="71">
        <v>2</v>
      </c>
      <c r="AJ71" s="71">
        <v>5</v>
      </c>
      <c r="AK71" s="71">
        <v>6</v>
      </c>
      <c r="AL71" s="71">
        <v>5</v>
      </c>
      <c r="AM71" s="71">
        <v>20</v>
      </c>
      <c r="AN71" s="94"/>
      <c r="AO71" s="71"/>
      <c r="AP71" s="71">
        <v>18</v>
      </c>
      <c r="AQ71" s="71"/>
      <c r="AR71" s="71">
        <v>117</v>
      </c>
      <c r="AS71" s="79">
        <v>215601.75</v>
      </c>
      <c r="AT71" s="91">
        <v>112</v>
      </c>
      <c r="AU71" s="91">
        <v>206388</v>
      </c>
      <c r="AV71" s="213">
        <v>5</v>
      </c>
      <c r="AW71" s="215">
        <v>33195</v>
      </c>
      <c r="AX71" s="211">
        <v>239583</v>
      </c>
      <c r="AY71" s="212"/>
    </row>
    <row r="72" spans="1:51">
      <c r="A72" s="225" t="s">
        <v>1459</v>
      </c>
      <c r="B72" s="228" t="s">
        <v>1460</v>
      </c>
      <c r="C72" s="163">
        <v>160</v>
      </c>
      <c r="D72" s="182" t="s">
        <v>940</v>
      </c>
      <c r="E72" s="177" t="s">
        <v>941</v>
      </c>
      <c r="F72" s="185" t="s">
        <v>942</v>
      </c>
      <c r="G72" s="164">
        <v>60</v>
      </c>
      <c r="H72" s="165">
        <v>3318</v>
      </c>
      <c r="I72" s="165">
        <f t="shared" si="6"/>
        <v>331.8</v>
      </c>
      <c r="J72" s="165">
        <f t="shared" si="7"/>
        <v>63.042000000000002</v>
      </c>
      <c r="K72" s="165">
        <f t="shared" si="8"/>
        <v>3712.8420000000001</v>
      </c>
      <c r="L72" s="165">
        <v>1832</v>
      </c>
      <c r="M72" s="166">
        <v>0.20000000000000004</v>
      </c>
      <c r="N72" s="167">
        <v>0.558288125376733</v>
      </c>
      <c r="O72" s="165">
        <v>1465.6</v>
      </c>
      <c r="P72" s="165">
        <f t="shared" si="9"/>
        <v>146.56</v>
      </c>
      <c r="Q72" s="165">
        <f t="shared" si="10"/>
        <v>27.846399999999999</v>
      </c>
      <c r="R72" s="165">
        <f t="shared" si="11"/>
        <v>1640.0063999999998</v>
      </c>
      <c r="S72" s="71">
        <v>50</v>
      </c>
      <c r="T72" s="71"/>
      <c r="U72" s="91"/>
      <c r="V72" s="71"/>
      <c r="W72" s="71"/>
      <c r="X72" s="71"/>
      <c r="Y72" s="71"/>
      <c r="Z72" s="71"/>
      <c r="AA72" s="71"/>
      <c r="AB72" s="71"/>
      <c r="AC72" s="71"/>
      <c r="AD72" s="71"/>
      <c r="AE72" s="71"/>
      <c r="AF72" s="71"/>
      <c r="AG72" s="71"/>
      <c r="AH72" s="71"/>
      <c r="AI72" s="71"/>
      <c r="AJ72" s="71"/>
      <c r="AK72" s="71">
        <v>10</v>
      </c>
      <c r="AL72" s="71">
        <v>30</v>
      </c>
      <c r="AM72" s="71">
        <v>30</v>
      </c>
      <c r="AN72" s="94"/>
      <c r="AO72" s="71"/>
      <c r="AP72" s="71">
        <v>20</v>
      </c>
      <c r="AQ72" s="94" t="s">
        <v>1420</v>
      </c>
      <c r="AR72" s="94">
        <v>140</v>
      </c>
      <c r="AS72" s="79">
        <v>205184</v>
      </c>
      <c r="AT72" s="91">
        <v>60</v>
      </c>
      <c r="AU72" s="91">
        <v>87936</v>
      </c>
      <c r="AV72" s="213">
        <v>80</v>
      </c>
      <c r="AW72" s="215">
        <v>265440</v>
      </c>
      <c r="AX72" s="211">
        <v>353376</v>
      </c>
      <c r="AY72" s="212"/>
    </row>
    <row r="73" spans="1:51" ht="22.5">
      <c r="A73" s="225" t="s">
        <v>1445</v>
      </c>
      <c r="B73" s="227" t="s">
        <v>1446</v>
      </c>
      <c r="C73" s="163">
        <v>161</v>
      </c>
      <c r="D73" s="182" t="s">
        <v>943</v>
      </c>
      <c r="E73" s="177" t="s">
        <v>944</v>
      </c>
      <c r="F73" s="185" t="s">
        <v>1</v>
      </c>
      <c r="G73" s="164">
        <v>18</v>
      </c>
      <c r="H73" s="165">
        <v>3484</v>
      </c>
      <c r="I73" s="165">
        <f t="shared" si="6"/>
        <v>348.40000000000003</v>
      </c>
      <c r="J73" s="165">
        <f t="shared" si="7"/>
        <v>66.196000000000012</v>
      </c>
      <c r="K73" s="165">
        <f t="shared" si="8"/>
        <v>3898.596</v>
      </c>
      <c r="L73" s="165">
        <v>2472</v>
      </c>
      <c r="M73" s="166">
        <v>0.20000000000000004</v>
      </c>
      <c r="N73" s="167">
        <v>0.43237657864523538</v>
      </c>
      <c r="O73" s="165">
        <v>1977.6</v>
      </c>
      <c r="P73" s="165">
        <f t="shared" si="9"/>
        <v>197.76</v>
      </c>
      <c r="Q73" s="165">
        <f t="shared" si="10"/>
        <v>37.574399999999997</v>
      </c>
      <c r="R73" s="165">
        <f t="shared" si="11"/>
        <v>2212.9343999999996</v>
      </c>
      <c r="S73" s="71">
        <v>5</v>
      </c>
      <c r="T73" s="71"/>
      <c r="U73" s="91"/>
      <c r="V73" s="71"/>
      <c r="W73" s="71"/>
      <c r="X73" s="71"/>
      <c r="Y73" s="71"/>
      <c r="Z73" s="71"/>
      <c r="AA73" s="71"/>
      <c r="AB73" s="71"/>
      <c r="AC73" s="71"/>
      <c r="AD73" s="71"/>
      <c r="AE73" s="71"/>
      <c r="AF73" s="71"/>
      <c r="AG73" s="71"/>
      <c r="AH73" s="71"/>
      <c r="AI73" s="71"/>
      <c r="AJ73" s="71"/>
      <c r="AK73" s="71"/>
      <c r="AL73" s="71"/>
      <c r="AM73" s="71"/>
      <c r="AN73" s="94" t="s">
        <v>1413</v>
      </c>
      <c r="AO73" s="71"/>
      <c r="AP73" s="71"/>
      <c r="AQ73" s="71"/>
      <c r="AR73" s="71">
        <v>5</v>
      </c>
      <c r="AS73" s="79">
        <v>9888</v>
      </c>
      <c r="AT73" s="91">
        <v>18</v>
      </c>
      <c r="AU73" s="91">
        <v>9888</v>
      </c>
      <c r="AV73" s="213"/>
      <c r="AW73" s="214"/>
      <c r="AX73" s="211">
        <v>9888</v>
      </c>
      <c r="AY73" s="212"/>
    </row>
    <row r="74" spans="1:51" ht="22.5">
      <c r="A74" s="225" t="s">
        <v>1445</v>
      </c>
      <c r="B74" s="227" t="s">
        <v>1446</v>
      </c>
      <c r="C74" s="163">
        <v>162</v>
      </c>
      <c r="D74" s="182" t="s">
        <v>945</v>
      </c>
      <c r="E74" s="178" t="s">
        <v>946</v>
      </c>
      <c r="F74" s="185" t="s">
        <v>1</v>
      </c>
      <c r="G74" s="164">
        <v>90</v>
      </c>
      <c r="H74" s="165">
        <v>4109</v>
      </c>
      <c r="I74" s="165">
        <f t="shared" si="6"/>
        <v>410.90000000000003</v>
      </c>
      <c r="J74" s="165">
        <f t="shared" si="7"/>
        <v>78.071000000000012</v>
      </c>
      <c r="K74" s="165">
        <f t="shared" si="8"/>
        <v>4597.9709999999995</v>
      </c>
      <c r="L74" s="165">
        <v>2472</v>
      </c>
      <c r="M74" s="166">
        <v>0.25</v>
      </c>
      <c r="N74" s="167">
        <v>0.5487953273302506</v>
      </c>
      <c r="O74" s="165">
        <v>1854</v>
      </c>
      <c r="P74" s="165">
        <f t="shared" si="9"/>
        <v>185.4</v>
      </c>
      <c r="Q74" s="165">
        <f t="shared" si="10"/>
        <v>35.225999999999999</v>
      </c>
      <c r="R74" s="165">
        <f t="shared" si="11"/>
        <v>2074.6260000000002</v>
      </c>
      <c r="S74" s="71">
        <v>15</v>
      </c>
      <c r="T74" s="71">
        <v>4</v>
      </c>
      <c r="U74" s="91">
        <v>4</v>
      </c>
      <c r="V74" s="71"/>
      <c r="W74" s="71">
        <v>4</v>
      </c>
      <c r="X74" s="71">
        <v>4</v>
      </c>
      <c r="Y74" s="71">
        <v>4</v>
      </c>
      <c r="Z74" s="71">
        <v>4</v>
      </c>
      <c r="AA74" s="71">
        <v>8</v>
      </c>
      <c r="AB74" s="71">
        <v>8</v>
      </c>
      <c r="AC74" s="71">
        <v>8</v>
      </c>
      <c r="AD74" s="71">
        <v>4</v>
      </c>
      <c r="AE74" s="71">
        <v>4</v>
      </c>
      <c r="AF74" s="71">
        <v>4</v>
      </c>
      <c r="AG74" s="71">
        <v>4</v>
      </c>
      <c r="AH74" s="71">
        <v>8</v>
      </c>
      <c r="AI74" s="71">
        <v>4</v>
      </c>
      <c r="AJ74" s="71"/>
      <c r="AK74" s="71">
        <v>6</v>
      </c>
      <c r="AL74" s="71">
        <v>3</v>
      </c>
      <c r="AM74" s="71">
        <v>25</v>
      </c>
      <c r="AN74" s="94"/>
      <c r="AO74" s="71"/>
      <c r="AP74" s="71">
        <v>15</v>
      </c>
      <c r="AQ74" s="71"/>
      <c r="AR74" s="71">
        <v>140</v>
      </c>
      <c r="AS74" s="79">
        <v>259560</v>
      </c>
      <c r="AT74" s="91">
        <v>90</v>
      </c>
      <c r="AU74" s="91">
        <v>166860</v>
      </c>
      <c r="AV74" s="213">
        <v>50</v>
      </c>
      <c r="AW74" s="215">
        <v>205450</v>
      </c>
      <c r="AX74" s="211">
        <v>372310</v>
      </c>
      <c r="AY74" s="212"/>
    </row>
    <row r="75" spans="1:51">
      <c r="A75" s="225" t="s">
        <v>1499</v>
      </c>
      <c r="B75" s="227" t="s">
        <v>1500</v>
      </c>
      <c r="C75" s="163">
        <v>168</v>
      </c>
      <c r="D75" s="182" t="s">
        <v>960</v>
      </c>
      <c r="E75" s="177" t="s">
        <v>961</v>
      </c>
      <c r="F75" s="185" t="s">
        <v>1</v>
      </c>
      <c r="G75" s="164">
        <v>24</v>
      </c>
      <c r="H75" s="165">
        <v>44461</v>
      </c>
      <c r="I75" s="165">
        <f t="shared" si="6"/>
        <v>4446.1000000000004</v>
      </c>
      <c r="J75" s="165">
        <f t="shared" si="7"/>
        <v>844.75900000000013</v>
      </c>
      <c r="K75" s="165">
        <f t="shared" si="8"/>
        <v>49751.858999999997</v>
      </c>
      <c r="L75" s="165">
        <v>28360</v>
      </c>
      <c r="M75" s="166">
        <v>0.25</v>
      </c>
      <c r="N75" s="167">
        <v>0.52160320280695438</v>
      </c>
      <c r="O75" s="165">
        <v>21270</v>
      </c>
      <c r="P75" s="165">
        <f t="shared" si="9"/>
        <v>2127</v>
      </c>
      <c r="Q75" s="165">
        <f t="shared" si="10"/>
        <v>404.13</v>
      </c>
      <c r="R75" s="165">
        <f t="shared" si="11"/>
        <v>23801.13</v>
      </c>
      <c r="S75" s="71">
        <v>6</v>
      </c>
      <c r="T75" s="71"/>
      <c r="U75" s="91"/>
      <c r="V75" s="71"/>
      <c r="W75" s="71">
        <v>5</v>
      </c>
      <c r="X75" s="71"/>
      <c r="Y75" s="71"/>
      <c r="Z75" s="71"/>
      <c r="AA75" s="71"/>
      <c r="AB75" s="71"/>
      <c r="AC75" s="71"/>
      <c r="AD75" s="71"/>
      <c r="AE75" s="71"/>
      <c r="AF75" s="71"/>
      <c r="AG75" s="71"/>
      <c r="AH75" s="71"/>
      <c r="AI75" s="71"/>
      <c r="AJ75" s="71"/>
      <c r="AK75" s="94" t="s">
        <v>1534</v>
      </c>
      <c r="AL75" s="71"/>
      <c r="AM75" s="71">
        <v>1</v>
      </c>
      <c r="AN75" s="94"/>
      <c r="AO75" s="71"/>
      <c r="AP75" s="71">
        <v>1</v>
      </c>
      <c r="AQ75" s="94" t="s">
        <v>1407</v>
      </c>
      <c r="AR75" s="94">
        <v>13</v>
      </c>
      <c r="AS75" s="79">
        <v>276510</v>
      </c>
      <c r="AT75" s="91">
        <v>24</v>
      </c>
      <c r="AU75" s="91">
        <v>276510</v>
      </c>
      <c r="AV75" s="213"/>
      <c r="AW75" s="214"/>
      <c r="AX75" s="211">
        <v>276510</v>
      </c>
      <c r="AY75" s="212"/>
    </row>
    <row r="76" spans="1:51">
      <c r="A76" s="225" t="s">
        <v>1435</v>
      </c>
      <c r="B76" s="226" t="s">
        <v>1436</v>
      </c>
      <c r="C76" s="163">
        <v>170</v>
      </c>
      <c r="D76" s="182" t="s">
        <v>964</v>
      </c>
      <c r="E76" s="177" t="s">
        <v>965</v>
      </c>
      <c r="F76" s="185" t="s">
        <v>966</v>
      </c>
      <c r="G76" s="164">
        <v>1351</v>
      </c>
      <c r="H76" s="165">
        <v>42466</v>
      </c>
      <c r="I76" s="165">
        <f t="shared" si="6"/>
        <v>4246.6000000000004</v>
      </c>
      <c r="J76" s="165">
        <f t="shared" si="7"/>
        <v>806.85400000000004</v>
      </c>
      <c r="K76" s="165">
        <f t="shared" si="8"/>
        <v>47519.453999999998</v>
      </c>
      <c r="L76" s="165">
        <v>13884</v>
      </c>
      <c r="M76" s="166">
        <v>0.25</v>
      </c>
      <c r="N76" s="167">
        <v>0.75479206894927708</v>
      </c>
      <c r="O76" s="165">
        <v>10413</v>
      </c>
      <c r="P76" s="165">
        <f t="shared" si="9"/>
        <v>1041.3</v>
      </c>
      <c r="Q76" s="165">
        <f t="shared" si="10"/>
        <v>197.84699999999998</v>
      </c>
      <c r="R76" s="165">
        <f t="shared" si="11"/>
        <v>11652.146999999999</v>
      </c>
      <c r="S76" s="71">
        <v>450</v>
      </c>
      <c r="T76" s="71">
        <v>40</v>
      </c>
      <c r="U76" s="91">
        <v>40</v>
      </c>
      <c r="V76" s="71"/>
      <c r="W76" s="71">
        <v>50</v>
      </c>
      <c r="X76" s="71">
        <v>40</v>
      </c>
      <c r="Y76" s="71">
        <v>50</v>
      </c>
      <c r="Z76" s="71">
        <v>30</v>
      </c>
      <c r="AA76" s="71">
        <v>50</v>
      </c>
      <c r="AB76" s="71">
        <v>40</v>
      </c>
      <c r="AC76" s="71">
        <v>40</v>
      </c>
      <c r="AD76" s="71">
        <v>10</v>
      </c>
      <c r="AE76" s="71">
        <v>20</v>
      </c>
      <c r="AF76" s="71">
        <v>10</v>
      </c>
      <c r="AG76" s="71">
        <v>10</v>
      </c>
      <c r="AH76" s="71">
        <v>40</v>
      </c>
      <c r="AI76" s="71">
        <v>10</v>
      </c>
      <c r="AJ76" s="71">
        <v>20</v>
      </c>
      <c r="AK76" s="71">
        <v>40</v>
      </c>
      <c r="AL76" s="71">
        <v>60</v>
      </c>
      <c r="AM76" s="71">
        <v>40</v>
      </c>
      <c r="AN76" s="94"/>
      <c r="AO76" s="71">
        <v>20</v>
      </c>
      <c r="AP76" s="71">
        <v>30</v>
      </c>
      <c r="AQ76" s="71"/>
      <c r="AR76" s="71">
        <v>1140</v>
      </c>
      <c r="AS76" s="79">
        <v>11870820</v>
      </c>
      <c r="AT76" s="91">
        <v>1351</v>
      </c>
      <c r="AU76" s="91">
        <v>11870820</v>
      </c>
      <c r="AV76" s="213"/>
      <c r="AW76" s="214"/>
      <c r="AX76" s="211">
        <v>11870820</v>
      </c>
      <c r="AY76" s="212"/>
    </row>
    <row r="77" spans="1:51">
      <c r="A77" s="225" t="s">
        <v>1437</v>
      </c>
      <c r="B77" s="225" t="s">
        <v>1438</v>
      </c>
      <c r="C77" s="163">
        <v>174</v>
      </c>
      <c r="D77" s="182" t="s">
        <v>974</v>
      </c>
      <c r="E77" s="177" t="s">
        <v>975</v>
      </c>
      <c r="F77" s="185" t="s">
        <v>976</v>
      </c>
      <c r="G77" s="164">
        <v>3</v>
      </c>
      <c r="H77" s="165">
        <v>19402</v>
      </c>
      <c r="I77" s="165">
        <f t="shared" si="6"/>
        <v>1940.2</v>
      </c>
      <c r="J77" s="165">
        <f t="shared" si="7"/>
        <v>368.63800000000003</v>
      </c>
      <c r="K77" s="165">
        <f t="shared" si="8"/>
        <v>21710.838</v>
      </c>
      <c r="L77" s="165">
        <v>10262</v>
      </c>
      <c r="M77" s="166">
        <v>0.19999999999999996</v>
      </c>
      <c r="N77" s="167">
        <v>0.5768683640861767</v>
      </c>
      <c r="O77" s="165">
        <v>8209.6</v>
      </c>
      <c r="P77" s="165">
        <f t="shared" si="9"/>
        <v>820.96</v>
      </c>
      <c r="Q77" s="165">
        <f t="shared" si="10"/>
        <v>155.98240000000001</v>
      </c>
      <c r="R77" s="165">
        <f t="shared" si="11"/>
        <v>9186.5424000000021</v>
      </c>
      <c r="S77" s="71">
        <v>5</v>
      </c>
      <c r="T77" s="71"/>
      <c r="U77" s="91"/>
      <c r="V77" s="71"/>
      <c r="W77" s="71"/>
      <c r="X77" s="71"/>
      <c r="Y77" s="71"/>
      <c r="Z77" s="71"/>
      <c r="AA77" s="71"/>
      <c r="AB77" s="71"/>
      <c r="AC77" s="71"/>
      <c r="AD77" s="71"/>
      <c r="AE77" s="71"/>
      <c r="AF77" s="71"/>
      <c r="AG77" s="71"/>
      <c r="AH77" s="71"/>
      <c r="AI77" s="71"/>
      <c r="AJ77" s="71"/>
      <c r="AK77" s="71"/>
      <c r="AL77" s="71"/>
      <c r="AM77" s="71"/>
      <c r="AN77" s="94"/>
      <c r="AO77" s="71"/>
      <c r="AP77" s="71"/>
      <c r="AQ77" s="71"/>
      <c r="AR77" s="71">
        <v>5</v>
      </c>
      <c r="AS77" s="79">
        <v>41048</v>
      </c>
      <c r="AT77" s="91">
        <v>3</v>
      </c>
      <c r="AU77" s="91">
        <v>24628.800000000003</v>
      </c>
      <c r="AV77" s="213">
        <v>2</v>
      </c>
      <c r="AW77" s="215">
        <v>38804</v>
      </c>
      <c r="AX77" s="211">
        <v>63432.800000000003</v>
      </c>
      <c r="AY77" s="212"/>
    </row>
    <row r="78" spans="1:51">
      <c r="A78" s="225" t="s">
        <v>1433</v>
      </c>
      <c r="B78" s="226" t="s">
        <v>1434</v>
      </c>
      <c r="C78" s="163">
        <v>175</v>
      </c>
      <c r="D78" s="182" t="s">
        <v>977</v>
      </c>
      <c r="E78" s="177" t="s">
        <v>978</v>
      </c>
      <c r="F78" s="185" t="s">
        <v>979</v>
      </c>
      <c r="G78" s="164">
        <v>795</v>
      </c>
      <c r="H78" s="165">
        <v>11895</v>
      </c>
      <c r="I78" s="165">
        <f t="shared" si="6"/>
        <v>1189.5</v>
      </c>
      <c r="J78" s="165">
        <f t="shared" si="7"/>
        <v>226.005</v>
      </c>
      <c r="K78" s="165">
        <f t="shared" si="8"/>
        <v>13310.504999999999</v>
      </c>
      <c r="L78" s="165">
        <v>6816</v>
      </c>
      <c r="M78" s="166">
        <v>0.25</v>
      </c>
      <c r="N78" s="167">
        <v>0.57023959646910471</v>
      </c>
      <c r="O78" s="165">
        <v>5112</v>
      </c>
      <c r="P78" s="165">
        <f t="shared" si="9"/>
        <v>511.20000000000005</v>
      </c>
      <c r="Q78" s="165">
        <f t="shared" si="10"/>
        <v>97.128000000000014</v>
      </c>
      <c r="R78" s="165">
        <f t="shared" si="11"/>
        <v>5720.3279999999995</v>
      </c>
      <c r="S78" s="71">
        <v>80</v>
      </c>
      <c r="T78" s="71">
        <v>30</v>
      </c>
      <c r="U78" s="91">
        <v>30</v>
      </c>
      <c r="V78" s="71"/>
      <c r="W78" s="71">
        <v>60</v>
      </c>
      <c r="X78" s="71">
        <v>60</v>
      </c>
      <c r="Y78" s="71">
        <v>60</v>
      </c>
      <c r="Z78" s="71">
        <v>20</v>
      </c>
      <c r="AA78" s="71">
        <v>60</v>
      </c>
      <c r="AB78" s="71">
        <v>60</v>
      </c>
      <c r="AC78" s="71">
        <v>60</v>
      </c>
      <c r="AD78" s="71">
        <v>20</v>
      </c>
      <c r="AE78" s="71">
        <v>30</v>
      </c>
      <c r="AF78" s="71">
        <v>10</v>
      </c>
      <c r="AG78" s="71">
        <v>10</v>
      </c>
      <c r="AH78" s="71">
        <v>60</v>
      </c>
      <c r="AI78" s="71">
        <v>10</v>
      </c>
      <c r="AJ78" s="71">
        <v>20</v>
      </c>
      <c r="AK78" s="71">
        <v>45</v>
      </c>
      <c r="AL78" s="71">
        <v>10</v>
      </c>
      <c r="AM78" s="71">
        <v>30</v>
      </c>
      <c r="AN78" s="94"/>
      <c r="AO78" s="71">
        <v>20</v>
      </c>
      <c r="AP78" s="71">
        <v>30</v>
      </c>
      <c r="AQ78" s="94" t="s">
        <v>1410</v>
      </c>
      <c r="AR78" s="94">
        <v>815</v>
      </c>
      <c r="AS78" s="79">
        <v>4166280</v>
      </c>
      <c r="AT78" s="91">
        <v>795</v>
      </c>
      <c r="AU78" s="91">
        <v>4064040</v>
      </c>
      <c r="AV78" s="213">
        <v>20</v>
      </c>
      <c r="AW78" s="215">
        <v>237900</v>
      </c>
      <c r="AX78" s="211">
        <v>4301940</v>
      </c>
      <c r="AY78" s="212"/>
    </row>
    <row r="79" spans="1:51">
      <c r="A79" s="225" t="s">
        <v>1433</v>
      </c>
      <c r="B79" s="226" t="s">
        <v>1434</v>
      </c>
      <c r="C79" s="163">
        <v>177</v>
      </c>
      <c r="D79" s="182" t="s">
        <v>983</v>
      </c>
      <c r="E79" s="177" t="s">
        <v>978</v>
      </c>
      <c r="F79" s="185" t="s">
        <v>966</v>
      </c>
      <c r="G79" s="164">
        <v>25</v>
      </c>
      <c r="H79" s="165">
        <v>5021</v>
      </c>
      <c r="I79" s="165">
        <f t="shared" si="6"/>
        <v>502.1</v>
      </c>
      <c r="J79" s="165">
        <f t="shared" si="7"/>
        <v>95.399000000000001</v>
      </c>
      <c r="K79" s="165">
        <f t="shared" si="8"/>
        <v>5618.4990000000007</v>
      </c>
      <c r="L79" s="165">
        <v>2283</v>
      </c>
      <c r="M79" s="166">
        <v>0.19999999999999996</v>
      </c>
      <c r="N79" s="167">
        <v>0.63624775941047607</v>
      </c>
      <c r="O79" s="165">
        <v>1826.4</v>
      </c>
      <c r="P79" s="165">
        <f t="shared" si="9"/>
        <v>182.64000000000001</v>
      </c>
      <c r="Q79" s="165">
        <f t="shared" si="10"/>
        <v>34.701600000000006</v>
      </c>
      <c r="R79" s="165">
        <f t="shared" si="11"/>
        <v>2043.7416000000003</v>
      </c>
      <c r="S79" s="71">
        <v>30</v>
      </c>
      <c r="T79" s="71"/>
      <c r="U79" s="91"/>
      <c r="V79" s="71"/>
      <c r="W79" s="71"/>
      <c r="X79" s="71"/>
      <c r="Y79" s="71"/>
      <c r="Z79" s="71"/>
      <c r="AA79" s="71"/>
      <c r="AB79" s="71"/>
      <c r="AC79" s="71"/>
      <c r="AD79" s="71"/>
      <c r="AE79" s="71"/>
      <c r="AF79" s="71"/>
      <c r="AG79" s="71"/>
      <c r="AH79" s="71"/>
      <c r="AI79" s="71"/>
      <c r="AJ79" s="71"/>
      <c r="AK79" s="71"/>
      <c r="AL79" s="71"/>
      <c r="AM79" s="71"/>
      <c r="AN79" s="94"/>
      <c r="AO79" s="71"/>
      <c r="AP79" s="71"/>
      <c r="AQ79" s="71"/>
      <c r="AR79" s="71">
        <v>30</v>
      </c>
      <c r="AS79" s="79">
        <v>54792</v>
      </c>
      <c r="AT79" s="91">
        <v>25</v>
      </c>
      <c r="AU79" s="91">
        <v>45660</v>
      </c>
      <c r="AV79" s="213">
        <v>5</v>
      </c>
      <c r="AW79" s="215">
        <v>25105</v>
      </c>
      <c r="AX79" s="211">
        <v>70765</v>
      </c>
      <c r="AY79" s="212"/>
    </row>
    <row r="80" spans="1:51" ht="22.5">
      <c r="A80" s="225" t="s">
        <v>1441</v>
      </c>
      <c r="B80" s="227" t="s">
        <v>1442</v>
      </c>
      <c r="C80" s="163">
        <v>184</v>
      </c>
      <c r="D80" s="182" t="s">
        <v>999</v>
      </c>
      <c r="E80" s="177" t="s">
        <v>1000</v>
      </c>
      <c r="F80" s="185" t="s">
        <v>1001</v>
      </c>
      <c r="G80" s="164">
        <v>1509</v>
      </c>
      <c r="H80" s="165">
        <v>2106</v>
      </c>
      <c r="I80" s="165">
        <f t="shared" si="6"/>
        <v>210.60000000000002</v>
      </c>
      <c r="J80" s="165">
        <f t="shared" si="7"/>
        <v>40.014000000000003</v>
      </c>
      <c r="K80" s="165">
        <f t="shared" si="8"/>
        <v>2356.614</v>
      </c>
      <c r="L80" s="165">
        <v>1421</v>
      </c>
      <c r="M80" s="166">
        <v>0.25</v>
      </c>
      <c r="N80" s="167">
        <v>0.49394586894586889</v>
      </c>
      <c r="O80" s="165">
        <v>1065.75</v>
      </c>
      <c r="P80" s="165">
        <f t="shared" si="9"/>
        <v>106.575</v>
      </c>
      <c r="Q80" s="165">
        <f t="shared" si="10"/>
        <v>20.24925</v>
      </c>
      <c r="R80" s="165">
        <f t="shared" si="11"/>
        <v>1192.5742500000001</v>
      </c>
      <c r="S80" s="71">
        <v>700</v>
      </c>
      <c r="T80" s="71">
        <v>40</v>
      </c>
      <c r="U80" s="91">
        <v>25</v>
      </c>
      <c r="V80" s="71"/>
      <c r="W80" s="71">
        <v>50</v>
      </c>
      <c r="X80" s="71">
        <v>30</v>
      </c>
      <c r="Y80" s="71">
        <v>50</v>
      </c>
      <c r="Z80" s="71">
        <v>30</v>
      </c>
      <c r="AA80" s="71">
        <v>50</v>
      </c>
      <c r="AB80" s="71">
        <v>30</v>
      </c>
      <c r="AC80" s="71">
        <v>40</v>
      </c>
      <c r="AD80" s="71">
        <v>10</v>
      </c>
      <c r="AE80" s="71">
        <v>10</v>
      </c>
      <c r="AF80" s="71">
        <v>8</v>
      </c>
      <c r="AG80" s="71">
        <v>10</v>
      </c>
      <c r="AH80" s="71">
        <v>30</v>
      </c>
      <c r="AI80" s="71">
        <v>20</v>
      </c>
      <c r="AJ80" s="71">
        <v>40</v>
      </c>
      <c r="AK80" s="71">
        <v>26</v>
      </c>
      <c r="AL80" s="71">
        <v>60</v>
      </c>
      <c r="AM80" s="71">
        <v>30</v>
      </c>
      <c r="AN80" s="94"/>
      <c r="AO80" s="77">
        <v>20</v>
      </c>
      <c r="AP80" s="71">
        <v>15</v>
      </c>
      <c r="AQ80" s="94" t="s">
        <v>1418</v>
      </c>
      <c r="AR80" s="94">
        <v>1324</v>
      </c>
      <c r="AS80" s="79">
        <v>1411053</v>
      </c>
      <c r="AT80" s="91">
        <v>1509</v>
      </c>
      <c r="AU80" s="91">
        <v>1411053</v>
      </c>
      <c r="AV80" s="213"/>
      <c r="AW80" s="214"/>
      <c r="AX80" s="211">
        <v>1411053</v>
      </c>
      <c r="AY80" s="212"/>
    </row>
    <row r="81" spans="1:51">
      <c r="A81" s="225" t="s">
        <v>1439</v>
      </c>
      <c r="B81" s="227" t="s">
        <v>1440</v>
      </c>
      <c r="C81" s="163">
        <v>188</v>
      </c>
      <c r="D81" s="182" t="s">
        <v>1010</v>
      </c>
      <c r="E81" s="177" t="s">
        <v>1000</v>
      </c>
      <c r="F81" s="185" t="s">
        <v>1011</v>
      </c>
      <c r="G81" s="164">
        <v>36</v>
      </c>
      <c r="H81" s="165">
        <v>9779</v>
      </c>
      <c r="I81" s="165">
        <f t="shared" si="6"/>
        <v>977.90000000000009</v>
      </c>
      <c r="J81" s="165">
        <f t="shared" si="7"/>
        <v>185.80100000000002</v>
      </c>
      <c r="K81" s="165">
        <f t="shared" si="8"/>
        <v>10942.700999999999</v>
      </c>
      <c r="L81" s="165">
        <v>4203</v>
      </c>
      <c r="M81" s="166">
        <v>0.19999999999999998</v>
      </c>
      <c r="N81" s="167">
        <v>0.65616116167297267</v>
      </c>
      <c r="O81" s="165">
        <v>3362.4</v>
      </c>
      <c r="P81" s="165">
        <f t="shared" si="9"/>
        <v>336.24</v>
      </c>
      <c r="Q81" s="165">
        <f t="shared" si="10"/>
        <v>63.885600000000004</v>
      </c>
      <c r="R81" s="165">
        <f t="shared" si="11"/>
        <v>3762.5256000000004</v>
      </c>
      <c r="S81" s="71">
        <v>5</v>
      </c>
      <c r="T81" s="71"/>
      <c r="U81" s="91"/>
      <c r="V81" s="71"/>
      <c r="W81" s="71"/>
      <c r="X81" s="71"/>
      <c r="Y81" s="71"/>
      <c r="Z81" s="71"/>
      <c r="AA81" s="71"/>
      <c r="AB81" s="71"/>
      <c r="AC81" s="71"/>
      <c r="AD81" s="71"/>
      <c r="AE81" s="71"/>
      <c r="AF81" s="71"/>
      <c r="AG81" s="71"/>
      <c r="AH81" s="71"/>
      <c r="AI81" s="71"/>
      <c r="AJ81" s="71"/>
      <c r="AK81" s="71"/>
      <c r="AL81" s="71"/>
      <c r="AM81" s="71"/>
      <c r="AN81" s="94"/>
      <c r="AO81" s="71"/>
      <c r="AP81" s="71"/>
      <c r="AQ81" s="71"/>
      <c r="AR81" s="71">
        <v>5</v>
      </c>
      <c r="AS81" s="79">
        <v>16812</v>
      </c>
      <c r="AT81" s="91">
        <v>36</v>
      </c>
      <c r="AU81" s="91">
        <v>16812</v>
      </c>
      <c r="AV81" s="213"/>
      <c r="AW81" s="214"/>
      <c r="AX81" s="211">
        <v>16812</v>
      </c>
      <c r="AY81" s="212"/>
    </row>
    <row r="82" spans="1:51" ht="22.5">
      <c r="A82" s="225" t="s">
        <v>1441</v>
      </c>
      <c r="B82" s="227" t="s">
        <v>1442</v>
      </c>
      <c r="C82" s="163">
        <v>189</v>
      </c>
      <c r="D82" s="182" t="s">
        <v>1012</v>
      </c>
      <c r="E82" s="177" t="s">
        <v>1013</v>
      </c>
      <c r="F82" s="185" t="s">
        <v>1011</v>
      </c>
      <c r="G82" s="164">
        <v>782</v>
      </c>
      <c r="H82" s="165">
        <v>10813</v>
      </c>
      <c r="I82" s="165">
        <f t="shared" si="6"/>
        <v>1081.3</v>
      </c>
      <c r="J82" s="165">
        <f t="shared" si="7"/>
        <v>205.447</v>
      </c>
      <c r="K82" s="165">
        <f t="shared" si="8"/>
        <v>12099.746999999999</v>
      </c>
      <c r="L82" s="165">
        <v>2019</v>
      </c>
      <c r="M82" s="166">
        <v>0.25</v>
      </c>
      <c r="N82" s="167">
        <v>0.85996023305280678</v>
      </c>
      <c r="O82" s="165">
        <v>1514.25</v>
      </c>
      <c r="P82" s="165">
        <f t="shared" si="9"/>
        <v>151.42500000000001</v>
      </c>
      <c r="Q82" s="165">
        <f t="shared" si="10"/>
        <v>28.770750000000003</v>
      </c>
      <c r="R82" s="165">
        <f t="shared" si="11"/>
        <v>1694.4457499999999</v>
      </c>
      <c r="S82" s="77">
        <v>400</v>
      </c>
      <c r="T82" s="77">
        <v>40</v>
      </c>
      <c r="U82" s="198">
        <v>25</v>
      </c>
      <c r="V82" s="71"/>
      <c r="W82" s="77">
        <v>40</v>
      </c>
      <c r="X82" s="77">
        <v>30</v>
      </c>
      <c r="Y82" s="71">
        <v>50</v>
      </c>
      <c r="Z82" s="71">
        <v>20</v>
      </c>
      <c r="AA82" s="77">
        <v>40</v>
      </c>
      <c r="AB82" s="77">
        <v>20</v>
      </c>
      <c r="AC82" s="77">
        <v>40</v>
      </c>
      <c r="AD82" s="71"/>
      <c r="AE82" s="71">
        <v>10</v>
      </c>
      <c r="AF82" s="77">
        <v>10</v>
      </c>
      <c r="AG82" s="77">
        <v>10</v>
      </c>
      <c r="AH82" s="94" t="s">
        <v>1421</v>
      </c>
      <c r="AI82" s="71">
        <v>10</v>
      </c>
      <c r="AJ82" s="94" t="s">
        <v>1413</v>
      </c>
      <c r="AK82" s="71">
        <v>15</v>
      </c>
      <c r="AL82" s="94" t="s">
        <v>1422</v>
      </c>
      <c r="AM82" s="94" t="s">
        <v>1423</v>
      </c>
      <c r="AN82" s="94"/>
      <c r="AO82" s="77">
        <v>20</v>
      </c>
      <c r="AP82" s="94" t="s">
        <v>1424</v>
      </c>
      <c r="AQ82" s="71"/>
      <c r="AR82" s="94">
        <v>780</v>
      </c>
      <c r="AS82" s="79">
        <v>1181115</v>
      </c>
      <c r="AT82" s="91">
        <v>782</v>
      </c>
      <c r="AU82" s="91">
        <v>1184143.5</v>
      </c>
      <c r="AV82" s="213">
        <v>-2</v>
      </c>
      <c r="AW82" s="215">
        <v>-21626</v>
      </c>
      <c r="AX82" s="211">
        <v>1162517.5</v>
      </c>
      <c r="AY82" s="212"/>
    </row>
    <row r="83" spans="1:51">
      <c r="A83" s="225" t="s">
        <v>1443</v>
      </c>
      <c r="B83" s="226" t="s">
        <v>1444</v>
      </c>
      <c r="C83" s="163">
        <v>193</v>
      </c>
      <c r="D83" s="182" t="s">
        <v>1022</v>
      </c>
      <c r="E83" s="177" t="s">
        <v>1023</v>
      </c>
      <c r="F83" s="185" t="s">
        <v>1024</v>
      </c>
      <c r="G83" s="164">
        <v>210</v>
      </c>
      <c r="H83" s="165">
        <v>20916</v>
      </c>
      <c r="I83" s="165">
        <f t="shared" si="6"/>
        <v>2091.6</v>
      </c>
      <c r="J83" s="165">
        <f t="shared" si="7"/>
        <v>397.404</v>
      </c>
      <c r="K83" s="165">
        <f t="shared" si="8"/>
        <v>23405.003999999997</v>
      </c>
      <c r="L83" s="165">
        <v>10384</v>
      </c>
      <c r="M83" s="166">
        <v>0.25</v>
      </c>
      <c r="N83" s="167">
        <v>0.627653471026965</v>
      </c>
      <c r="O83" s="165">
        <v>7788</v>
      </c>
      <c r="P83" s="165">
        <f t="shared" si="9"/>
        <v>778.80000000000007</v>
      </c>
      <c r="Q83" s="165">
        <f t="shared" si="10"/>
        <v>147.97200000000001</v>
      </c>
      <c r="R83" s="165">
        <f t="shared" si="11"/>
        <v>8714.771999999999</v>
      </c>
      <c r="S83" s="71">
        <v>20</v>
      </c>
      <c r="T83" s="77">
        <v>10</v>
      </c>
      <c r="U83" s="198">
        <v>10</v>
      </c>
      <c r="V83" s="71"/>
      <c r="W83" s="71">
        <v>10</v>
      </c>
      <c r="X83" s="77">
        <v>10</v>
      </c>
      <c r="Y83" s="71">
        <v>10</v>
      </c>
      <c r="Z83" s="71">
        <v>10</v>
      </c>
      <c r="AA83" s="77">
        <v>10</v>
      </c>
      <c r="AB83" s="77">
        <v>10</v>
      </c>
      <c r="AC83" s="77">
        <v>10</v>
      </c>
      <c r="AD83" s="71">
        <v>10</v>
      </c>
      <c r="AE83" s="71">
        <v>8</v>
      </c>
      <c r="AF83" s="77">
        <v>6</v>
      </c>
      <c r="AG83" s="77">
        <v>6</v>
      </c>
      <c r="AH83" s="71">
        <v>10</v>
      </c>
      <c r="AI83" s="71">
        <v>6</v>
      </c>
      <c r="AJ83" s="71">
        <v>8</v>
      </c>
      <c r="AK83" s="71">
        <v>15</v>
      </c>
      <c r="AL83" s="71">
        <v>10</v>
      </c>
      <c r="AM83" s="71"/>
      <c r="AN83" s="94" t="s">
        <v>1425</v>
      </c>
      <c r="AO83" s="77">
        <v>4</v>
      </c>
      <c r="AP83" s="94" t="s">
        <v>1426</v>
      </c>
      <c r="AQ83" s="94" t="s">
        <v>1413</v>
      </c>
      <c r="AR83" s="94">
        <v>193</v>
      </c>
      <c r="AS83" s="79">
        <v>1503084</v>
      </c>
      <c r="AT83" s="91">
        <v>210</v>
      </c>
      <c r="AU83" s="91">
        <v>1635480</v>
      </c>
      <c r="AV83" s="213">
        <v>-17</v>
      </c>
      <c r="AW83" s="215">
        <v>-355572</v>
      </c>
      <c r="AX83" s="211">
        <v>1279908</v>
      </c>
      <c r="AY83" s="212"/>
    </row>
    <row r="84" spans="1:51" ht="22.5">
      <c r="A84" s="225" t="s">
        <v>1497</v>
      </c>
      <c r="B84" s="227" t="s">
        <v>1498</v>
      </c>
      <c r="C84" s="163">
        <v>205</v>
      </c>
      <c r="D84" s="182" t="s">
        <v>1047</v>
      </c>
      <c r="E84" s="177" t="s">
        <v>1048</v>
      </c>
      <c r="F84" s="185" t="s">
        <v>1</v>
      </c>
      <c r="G84" s="164">
        <v>57</v>
      </c>
      <c r="H84" s="165">
        <v>6310</v>
      </c>
      <c r="I84" s="165">
        <f t="shared" si="6"/>
        <v>631</v>
      </c>
      <c r="J84" s="165">
        <f t="shared" si="7"/>
        <v>119.89</v>
      </c>
      <c r="K84" s="165">
        <f t="shared" si="8"/>
        <v>7060.89</v>
      </c>
      <c r="L84" s="165">
        <v>2242</v>
      </c>
      <c r="M84" s="166">
        <v>0.20000000000000004</v>
      </c>
      <c r="N84" s="167">
        <v>0.71575277337559429</v>
      </c>
      <c r="O84" s="165">
        <v>1793.6</v>
      </c>
      <c r="P84" s="165">
        <f t="shared" si="9"/>
        <v>179.36</v>
      </c>
      <c r="Q84" s="165">
        <f t="shared" si="10"/>
        <v>34.078400000000002</v>
      </c>
      <c r="R84" s="165">
        <f t="shared" si="11"/>
        <v>2007.0384000000001</v>
      </c>
      <c r="S84" s="71">
        <v>10</v>
      </c>
      <c r="T84" s="71"/>
      <c r="U84" s="91"/>
      <c r="V84" s="71"/>
      <c r="W84" s="71"/>
      <c r="X84" s="71"/>
      <c r="Y84" s="71"/>
      <c r="Z84" s="71"/>
      <c r="AA84" s="71"/>
      <c r="AB84" s="71"/>
      <c r="AC84" s="71"/>
      <c r="AD84" s="71"/>
      <c r="AE84" s="71"/>
      <c r="AF84" s="71"/>
      <c r="AG84" s="71"/>
      <c r="AH84" s="71"/>
      <c r="AI84" s="71"/>
      <c r="AJ84" s="71"/>
      <c r="AK84" s="71">
        <v>6</v>
      </c>
      <c r="AL84" s="71"/>
      <c r="AM84" s="71"/>
      <c r="AN84" s="94"/>
      <c r="AO84" s="71"/>
      <c r="AP84" s="71"/>
      <c r="AQ84" s="71"/>
      <c r="AR84" s="71">
        <v>16</v>
      </c>
      <c r="AS84" s="79">
        <v>28697.599999999999</v>
      </c>
      <c r="AT84" s="91">
        <v>57</v>
      </c>
      <c r="AU84" s="91">
        <v>28697.599999999999</v>
      </c>
      <c r="AV84" s="213"/>
      <c r="AW84" s="214"/>
      <c r="AX84" s="211">
        <v>28697.599999999999</v>
      </c>
      <c r="AY84" s="212"/>
    </row>
    <row r="85" spans="1:51" ht="45">
      <c r="A85" s="225" t="s">
        <v>1513</v>
      </c>
      <c r="B85" s="227" t="s">
        <v>1514</v>
      </c>
      <c r="C85" s="163">
        <v>207</v>
      </c>
      <c r="D85" s="182" t="s">
        <v>1051</v>
      </c>
      <c r="E85" s="177" t="s">
        <v>1052</v>
      </c>
      <c r="F85" s="185" t="s">
        <v>1</v>
      </c>
      <c r="G85" s="164">
        <v>110</v>
      </c>
      <c r="H85" s="165">
        <v>3306</v>
      </c>
      <c r="I85" s="165">
        <f t="shared" si="6"/>
        <v>330.6</v>
      </c>
      <c r="J85" s="165">
        <f t="shared" si="7"/>
        <v>62.814000000000007</v>
      </c>
      <c r="K85" s="165">
        <f t="shared" si="8"/>
        <v>3699.4139999999998</v>
      </c>
      <c r="L85" s="165">
        <v>1492</v>
      </c>
      <c r="M85" s="166">
        <v>0.20000000000000007</v>
      </c>
      <c r="N85" s="167">
        <v>0.63895946763460376</v>
      </c>
      <c r="O85" s="165">
        <v>1193.5999999999999</v>
      </c>
      <c r="P85" s="165">
        <f t="shared" si="9"/>
        <v>119.36</v>
      </c>
      <c r="Q85" s="165">
        <f t="shared" si="10"/>
        <v>22.6784</v>
      </c>
      <c r="R85" s="165">
        <f t="shared" si="11"/>
        <v>1335.6383999999998</v>
      </c>
      <c r="S85" s="71">
        <v>20</v>
      </c>
      <c r="T85" s="71">
        <v>2</v>
      </c>
      <c r="U85" s="91">
        <v>2</v>
      </c>
      <c r="V85" s="71"/>
      <c r="W85" s="71">
        <v>2</v>
      </c>
      <c r="X85" s="71">
        <v>2</v>
      </c>
      <c r="Y85" s="71">
        <v>2</v>
      </c>
      <c r="Z85" s="71">
        <v>2</v>
      </c>
      <c r="AA85" s="71">
        <v>2</v>
      </c>
      <c r="AB85" s="71">
        <v>2</v>
      </c>
      <c r="AC85" s="71">
        <v>2</v>
      </c>
      <c r="AD85" s="71">
        <v>2</v>
      </c>
      <c r="AE85" s="71">
        <v>2</v>
      </c>
      <c r="AF85" s="71">
        <v>2</v>
      </c>
      <c r="AG85" s="71">
        <v>2</v>
      </c>
      <c r="AH85" s="71">
        <v>2</v>
      </c>
      <c r="AI85" s="71">
        <v>2</v>
      </c>
      <c r="AJ85" s="71"/>
      <c r="AK85" s="71"/>
      <c r="AL85" s="71">
        <v>4</v>
      </c>
      <c r="AM85" s="71"/>
      <c r="AN85" s="94" t="s">
        <v>1427</v>
      </c>
      <c r="AO85" s="71"/>
      <c r="AP85" s="71">
        <v>5</v>
      </c>
      <c r="AQ85" s="71"/>
      <c r="AR85" s="71">
        <v>59</v>
      </c>
      <c r="AS85" s="79">
        <v>70422.399999999994</v>
      </c>
      <c r="AT85" s="91">
        <v>110</v>
      </c>
      <c r="AU85" s="91">
        <v>70422.399999999994</v>
      </c>
      <c r="AV85" s="213"/>
      <c r="AW85" s="214"/>
      <c r="AX85" s="200">
        <v>70422.399999999994</v>
      </c>
      <c r="AY85" s="238"/>
    </row>
    <row r="86" spans="1:51" ht="45">
      <c r="A86" s="225" t="s">
        <v>1513</v>
      </c>
      <c r="B86" s="227" t="s">
        <v>1514</v>
      </c>
      <c r="C86" s="163">
        <v>245</v>
      </c>
      <c r="D86" s="182" t="s">
        <v>1119</v>
      </c>
      <c r="E86" s="182" t="s">
        <v>1120</v>
      </c>
      <c r="F86" s="185" t="s">
        <v>1</v>
      </c>
      <c r="G86" s="164">
        <v>6</v>
      </c>
      <c r="H86" s="165">
        <v>53550</v>
      </c>
      <c r="I86" s="165">
        <f t="shared" si="6"/>
        <v>5355</v>
      </c>
      <c r="J86" s="165">
        <f t="shared" si="7"/>
        <v>1017.45</v>
      </c>
      <c r="K86" s="165">
        <f t="shared" si="8"/>
        <v>59922.45</v>
      </c>
      <c r="L86" s="165">
        <v>8415</v>
      </c>
      <c r="M86" s="166">
        <v>0.2</v>
      </c>
      <c r="N86" s="167">
        <v>0.87428571428571433</v>
      </c>
      <c r="O86" s="165">
        <v>6732</v>
      </c>
      <c r="P86" s="165">
        <f t="shared" si="9"/>
        <v>673.2</v>
      </c>
      <c r="Q86" s="165">
        <f t="shared" si="10"/>
        <v>127.90800000000002</v>
      </c>
      <c r="R86" s="165">
        <f t="shared" si="11"/>
        <v>7533.1080000000002</v>
      </c>
      <c r="S86" s="71">
        <v>5</v>
      </c>
      <c r="T86" s="71"/>
      <c r="U86" s="91"/>
      <c r="V86" s="71"/>
      <c r="W86" s="71"/>
      <c r="X86" s="71"/>
      <c r="Y86" s="71"/>
      <c r="Z86" s="71"/>
      <c r="AA86" s="71"/>
      <c r="AB86" s="71"/>
      <c r="AC86" s="71"/>
      <c r="AD86" s="71"/>
      <c r="AE86" s="71"/>
      <c r="AF86" s="71"/>
      <c r="AG86" s="71"/>
      <c r="AH86" s="71"/>
      <c r="AI86" s="71"/>
      <c r="AJ86" s="71"/>
      <c r="AK86" s="71"/>
      <c r="AL86" s="71"/>
      <c r="AM86" s="71">
        <v>5</v>
      </c>
      <c r="AN86" s="94"/>
      <c r="AO86" s="71"/>
      <c r="AP86" s="71"/>
      <c r="AQ86" s="71"/>
      <c r="AR86" s="71">
        <v>10</v>
      </c>
      <c r="AS86" s="79">
        <v>67320</v>
      </c>
      <c r="AT86" s="91">
        <v>6</v>
      </c>
      <c r="AU86" s="91">
        <v>40392</v>
      </c>
      <c r="AV86" s="213">
        <v>4</v>
      </c>
      <c r="AW86" s="215">
        <v>214200</v>
      </c>
      <c r="AX86" s="200">
        <v>254592</v>
      </c>
      <c r="AY86" s="238"/>
    </row>
    <row r="87" spans="1:51" ht="45">
      <c r="A87" s="225" t="s">
        <v>1513</v>
      </c>
      <c r="B87" s="227" t="s">
        <v>1514</v>
      </c>
      <c r="C87" s="163">
        <v>247</v>
      </c>
      <c r="D87" s="182" t="s">
        <v>1123</v>
      </c>
      <c r="E87" s="182" t="s">
        <v>1124</v>
      </c>
      <c r="F87" s="185" t="s">
        <v>1</v>
      </c>
      <c r="G87" s="164">
        <v>7</v>
      </c>
      <c r="H87" s="165">
        <v>53560</v>
      </c>
      <c r="I87" s="165">
        <f t="shared" si="6"/>
        <v>5356</v>
      </c>
      <c r="J87" s="165">
        <f t="shared" si="7"/>
        <v>1017.64</v>
      </c>
      <c r="K87" s="165">
        <f t="shared" si="8"/>
        <v>59933.64</v>
      </c>
      <c r="L87" s="165">
        <v>8415</v>
      </c>
      <c r="M87" s="166">
        <v>0.2</v>
      </c>
      <c r="N87" s="167">
        <v>0.87430918595967144</v>
      </c>
      <c r="O87" s="165">
        <v>6732</v>
      </c>
      <c r="P87" s="165">
        <f t="shared" si="9"/>
        <v>673.2</v>
      </c>
      <c r="Q87" s="165">
        <f t="shared" si="10"/>
        <v>127.90800000000002</v>
      </c>
      <c r="R87" s="165">
        <f t="shared" si="11"/>
        <v>7533.1080000000002</v>
      </c>
      <c r="S87" s="71">
        <v>5</v>
      </c>
      <c r="T87" s="71"/>
      <c r="U87" s="91"/>
      <c r="V87" s="71"/>
      <c r="W87" s="71"/>
      <c r="X87" s="71"/>
      <c r="Y87" s="71"/>
      <c r="Z87" s="71"/>
      <c r="AA87" s="71"/>
      <c r="AB87" s="71"/>
      <c r="AC87" s="71"/>
      <c r="AD87" s="71"/>
      <c r="AE87" s="71"/>
      <c r="AF87" s="71"/>
      <c r="AG87" s="71"/>
      <c r="AH87" s="71"/>
      <c r="AI87" s="71"/>
      <c r="AJ87" s="71"/>
      <c r="AK87" s="71"/>
      <c r="AL87" s="71"/>
      <c r="AM87" s="71"/>
      <c r="AN87" s="94"/>
      <c r="AO87" s="71"/>
      <c r="AP87" s="71"/>
      <c r="AQ87" s="71"/>
      <c r="AR87" s="71">
        <v>5</v>
      </c>
      <c r="AS87" s="79">
        <v>33660</v>
      </c>
      <c r="AT87" s="91">
        <v>7</v>
      </c>
      <c r="AU87" s="91">
        <v>33660</v>
      </c>
      <c r="AV87" s="213"/>
      <c r="AW87" s="214"/>
      <c r="AX87" s="200">
        <v>33660</v>
      </c>
      <c r="AY87" s="212"/>
    </row>
    <row r="88" spans="1:51" ht="33.75">
      <c r="A88" s="231" t="s">
        <v>1495</v>
      </c>
      <c r="B88" s="232" t="s">
        <v>1496</v>
      </c>
      <c r="C88" s="163">
        <v>249</v>
      </c>
      <c r="D88" s="182" t="s">
        <v>1127</v>
      </c>
      <c r="E88" s="182" t="s">
        <v>1128</v>
      </c>
      <c r="F88" s="185" t="s">
        <v>1</v>
      </c>
      <c r="G88" s="164">
        <v>10</v>
      </c>
      <c r="H88" s="165">
        <v>9365</v>
      </c>
      <c r="I88" s="165">
        <f t="shared" si="6"/>
        <v>936.5</v>
      </c>
      <c r="J88" s="165">
        <f t="shared" si="7"/>
        <v>177.935</v>
      </c>
      <c r="K88" s="165">
        <f t="shared" si="8"/>
        <v>10479.434999999999</v>
      </c>
      <c r="L88" s="165">
        <v>4630</v>
      </c>
      <c r="M88" s="166">
        <v>0.2</v>
      </c>
      <c r="N88" s="167">
        <v>0.60448478376935399</v>
      </c>
      <c r="O88" s="165">
        <v>3704</v>
      </c>
      <c r="P88" s="165">
        <f t="shared" si="9"/>
        <v>370.40000000000003</v>
      </c>
      <c r="Q88" s="165">
        <f t="shared" si="10"/>
        <v>70.376000000000005</v>
      </c>
      <c r="R88" s="165">
        <f t="shared" si="11"/>
        <v>4144.7759999999998</v>
      </c>
      <c r="S88" s="71">
        <v>10</v>
      </c>
      <c r="T88" s="71"/>
      <c r="U88" s="91"/>
      <c r="V88" s="71"/>
      <c r="W88" s="71"/>
      <c r="X88" s="71"/>
      <c r="Y88" s="71"/>
      <c r="Z88" s="71"/>
      <c r="AA88" s="71"/>
      <c r="AB88" s="71"/>
      <c r="AC88" s="71"/>
      <c r="AD88" s="71"/>
      <c r="AE88" s="71"/>
      <c r="AF88" s="71"/>
      <c r="AG88" s="71"/>
      <c r="AH88" s="71"/>
      <c r="AI88" s="71"/>
      <c r="AJ88" s="71"/>
      <c r="AK88" s="71"/>
      <c r="AL88" s="71"/>
      <c r="AM88" s="71"/>
      <c r="AN88" s="94"/>
      <c r="AO88" s="71"/>
      <c r="AP88" s="71"/>
      <c r="AQ88" s="71"/>
      <c r="AR88" s="71">
        <v>10</v>
      </c>
      <c r="AS88" s="79">
        <v>37040</v>
      </c>
      <c r="AT88" s="91">
        <v>10</v>
      </c>
      <c r="AU88" s="91">
        <v>37040</v>
      </c>
      <c r="AV88" s="200"/>
      <c r="AW88" s="71"/>
      <c r="AX88" s="200">
        <v>37040</v>
      </c>
      <c r="AY88" s="212"/>
    </row>
    <row r="89" spans="1:51" ht="45">
      <c r="A89" s="225" t="s">
        <v>1513</v>
      </c>
      <c r="B89" s="227" t="s">
        <v>1514</v>
      </c>
      <c r="C89" s="163">
        <v>280</v>
      </c>
      <c r="D89" s="182" t="s">
        <v>1171</v>
      </c>
      <c r="E89" s="182" t="s">
        <v>1172</v>
      </c>
      <c r="F89" s="185" t="s">
        <v>1</v>
      </c>
      <c r="G89" s="164">
        <v>5</v>
      </c>
      <c r="H89" s="165">
        <v>54035</v>
      </c>
      <c r="I89" s="165">
        <f t="shared" si="6"/>
        <v>5403.5</v>
      </c>
      <c r="J89" s="165">
        <f t="shared" si="7"/>
        <v>1026.665</v>
      </c>
      <c r="K89" s="165">
        <f t="shared" si="8"/>
        <v>60465.165000000001</v>
      </c>
      <c r="L89" s="165">
        <v>2508</v>
      </c>
      <c r="M89" s="166">
        <v>0.19999999999999996</v>
      </c>
      <c r="N89" s="167">
        <v>0.96286851115018046</v>
      </c>
      <c r="O89" s="165">
        <v>2006.4</v>
      </c>
      <c r="P89" s="165">
        <f t="shared" si="9"/>
        <v>200.64000000000001</v>
      </c>
      <c r="Q89" s="165">
        <f t="shared" si="10"/>
        <v>38.121600000000001</v>
      </c>
      <c r="R89" s="165">
        <f t="shared" si="11"/>
        <v>2245.1615999999999</v>
      </c>
      <c r="S89" s="77">
        <v>5</v>
      </c>
      <c r="T89" s="71"/>
      <c r="U89" s="91"/>
      <c r="V89" s="71"/>
      <c r="W89" s="71"/>
      <c r="X89" s="71"/>
      <c r="Y89" s="71"/>
      <c r="Z89" s="71"/>
      <c r="AA89" s="71"/>
      <c r="AB89" s="71"/>
      <c r="AC89" s="71"/>
      <c r="AD89" s="71"/>
      <c r="AE89" s="71"/>
      <c r="AF89" s="71"/>
      <c r="AG89" s="71"/>
      <c r="AH89" s="71"/>
      <c r="AI89" s="71"/>
      <c r="AJ89" s="71"/>
      <c r="AK89" s="71"/>
      <c r="AL89" s="71"/>
      <c r="AM89" s="71"/>
      <c r="AN89" s="94"/>
      <c r="AO89" s="71"/>
      <c r="AP89" s="71"/>
      <c r="AQ89" s="71"/>
      <c r="AR89" s="71">
        <v>5</v>
      </c>
      <c r="AS89" s="79">
        <v>10032</v>
      </c>
      <c r="AT89" s="91">
        <v>5</v>
      </c>
      <c r="AU89" s="91">
        <v>10032</v>
      </c>
      <c r="AV89" s="200"/>
      <c r="AW89" s="71"/>
      <c r="AX89" s="200">
        <v>10032</v>
      </c>
      <c r="AY89" s="212"/>
    </row>
    <row r="90" spans="1:51" ht="45">
      <c r="A90" s="233" t="s">
        <v>1513</v>
      </c>
      <c r="B90" s="229" t="s">
        <v>1514</v>
      </c>
      <c r="C90" s="171">
        <v>338</v>
      </c>
      <c r="D90" s="188" t="s">
        <v>1269</v>
      </c>
      <c r="E90" s="182" t="s">
        <v>1270</v>
      </c>
      <c r="F90" s="186" t="s">
        <v>1</v>
      </c>
      <c r="G90" s="169">
        <v>46</v>
      </c>
      <c r="H90" s="172">
        <v>474650</v>
      </c>
      <c r="I90" s="165">
        <f t="shared" si="6"/>
        <v>47465</v>
      </c>
      <c r="J90" s="165">
        <f t="shared" si="7"/>
        <v>9018.35</v>
      </c>
      <c r="K90" s="165">
        <f t="shared" si="8"/>
        <v>531133.35</v>
      </c>
      <c r="L90" s="172">
        <v>18654</v>
      </c>
      <c r="M90" s="173">
        <v>0.19999999999999996</v>
      </c>
      <c r="N90" s="174">
        <v>0.96855957020962813</v>
      </c>
      <c r="O90" s="172">
        <v>14923.2</v>
      </c>
      <c r="P90" s="165">
        <f t="shared" si="9"/>
        <v>1492.3200000000002</v>
      </c>
      <c r="Q90" s="165">
        <f t="shared" si="10"/>
        <v>283.54080000000005</v>
      </c>
      <c r="R90" s="165">
        <f t="shared" si="11"/>
        <v>16699.060799999999</v>
      </c>
      <c r="S90" s="77">
        <v>46</v>
      </c>
      <c r="T90" s="71"/>
      <c r="U90" s="91"/>
      <c r="V90" s="71"/>
      <c r="W90" s="71"/>
      <c r="X90" s="71"/>
      <c r="Y90" s="71"/>
      <c r="Z90" s="71"/>
      <c r="AA90" s="71"/>
      <c r="AB90" s="71"/>
      <c r="AC90" s="71"/>
      <c r="AD90" s="71"/>
      <c r="AE90" s="71"/>
      <c r="AF90" s="71"/>
      <c r="AG90" s="71"/>
      <c r="AH90" s="71"/>
      <c r="AI90" s="71"/>
      <c r="AJ90" s="71"/>
      <c r="AK90" s="71"/>
      <c r="AL90" s="71"/>
      <c r="AM90" s="71"/>
      <c r="AN90" s="94"/>
      <c r="AO90" s="71"/>
      <c r="AP90" s="71"/>
      <c r="AQ90" s="71"/>
      <c r="AR90" s="77">
        <v>46</v>
      </c>
      <c r="AS90" s="79">
        <v>686467.20000000007</v>
      </c>
      <c r="AT90" s="91">
        <v>46</v>
      </c>
      <c r="AU90" s="91">
        <v>686467.20000000007</v>
      </c>
      <c r="AV90" s="200"/>
      <c r="AW90" s="71"/>
      <c r="AX90" s="211">
        <v>686467.20000000007</v>
      </c>
      <c r="AY90" s="212"/>
    </row>
    <row r="91" spans="1:51" ht="45">
      <c r="A91" s="233" t="s">
        <v>1513</v>
      </c>
      <c r="B91" s="229" t="s">
        <v>1514</v>
      </c>
      <c r="C91" s="171">
        <v>339</v>
      </c>
      <c r="D91" s="188" t="s">
        <v>1271</v>
      </c>
      <c r="E91" s="182" t="s">
        <v>1272</v>
      </c>
      <c r="F91" s="186" t="s">
        <v>1</v>
      </c>
      <c r="G91" s="169">
        <v>4</v>
      </c>
      <c r="H91" s="172">
        <v>525664</v>
      </c>
      <c r="I91" s="165">
        <f t="shared" si="6"/>
        <v>52566.400000000001</v>
      </c>
      <c r="J91" s="165">
        <f t="shared" si="7"/>
        <v>9987.616</v>
      </c>
      <c r="K91" s="165">
        <f t="shared" si="8"/>
        <v>588218.01600000006</v>
      </c>
      <c r="L91" s="172">
        <v>17639</v>
      </c>
      <c r="M91" s="173">
        <v>0.19999999999999996</v>
      </c>
      <c r="N91" s="174">
        <v>0.97315547574115779</v>
      </c>
      <c r="O91" s="172">
        <v>14111.2</v>
      </c>
      <c r="P91" s="165">
        <f t="shared" si="9"/>
        <v>1411.1200000000001</v>
      </c>
      <c r="Q91" s="165">
        <f t="shared" si="10"/>
        <v>268.11280000000005</v>
      </c>
      <c r="R91" s="165">
        <f t="shared" si="11"/>
        <v>15790.432800000002</v>
      </c>
      <c r="S91" s="77">
        <v>4</v>
      </c>
      <c r="T91" s="71"/>
      <c r="U91" s="91"/>
      <c r="V91" s="71"/>
      <c r="W91" s="71"/>
      <c r="X91" s="71"/>
      <c r="Y91" s="71"/>
      <c r="Z91" s="71"/>
      <c r="AA91" s="71"/>
      <c r="AB91" s="71"/>
      <c r="AC91" s="71"/>
      <c r="AD91" s="71"/>
      <c r="AE91" s="71"/>
      <c r="AF91" s="71"/>
      <c r="AG91" s="71"/>
      <c r="AH91" s="71"/>
      <c r="AI91" s="71"/>
      <c r="AJ91" s="71"/>
      <c r="AK91" s="71"/>
      <c r="AL91" s="71"/>
      <c r="AM91" s="71"/>
      <c r="AN91" s="94"/>
      <c r="AO91" s="71"/>
      <c r="AP91" s="71"/>
      <c r="AQ91" s="71"/>
      <c r="AR91" s="77">
        <v>4</v>
      </c>
      <c r="AS91" s="79">
        <v>56444.800000000003</v>
      </c>
      <c r="AT91" s="91">
        <v>4</v>
      </c>
      <c r="AU91" s="91">
        <v>56444.800000000003</v>
      </c>
      <c r="AV91" s="200"/>
      <c r="AW91" s="71"/>
      <c r="AX91" s="211">
        <v>56444.800000000003</v>
      </c>
      <c r="AY91" s="212"/>
    </row>
    <row r="92" spans="1:51" ht="45">
      <c r="A92" s="233" t="s">
        <v>1513</v>
      </c>
      <c r="B92" s="229" t="s">
        <v>1514</v>
      </c>
      <c r="C92" s="171">
        <v>340</v>
      </c>
      <c r="D92" s="188" t="s">
        <v>1273</v>
      </c>
      <c r="E92" s="182" t="s">
        <v>1274</v>
      </c>
      <c r="F92" s="186" t="s">
        <v>1</v>
      </c>
      <c r="G92" s="169">
        <v>3</v>
      </c>
      <c r="H92" s="172">
        <v>1029302</v>
      </c>
      <c r="I92" s="165">
        <f t="shared" si="6"/>
        <v>102930.20000000001</v>
      </c>
      <c r="J92" s="165">
        <f t="shared" si="7"/>
        <v>19556.738000000001</v>
      </c>
      <c r="K92" s="165">
        <f t="shared" si="8"/>
        <v>1151788.9379999998</v>
      </c>
      <c r="L92" s="172">
        <v>36285</v>
      </c>
      <c r="M92" s="173">
        <v>0.2</v>
      </c>
      <c r="N92" s="174">
        <v>0.97179836432844779</v>
      </c>
      <c r="O92" s="172">
        <v>29028</v>
      </c>
      <c r="P92" s="165">
        <f t="shared" si="9"/>
        <v>2902.8</v>
      </c>
      <c r="Q92" s="165">
        <f t="shared" si="10"/>
        <v>551.53200000000004</v>
      </c>
      <c r="R92" s="165">
        <f t="shared" si="11"/>
        <v>32482.331999999999</v>
      </c>
      <c r="S92" s="77">
        <v>3</v>
      </c>
      <c r="T92" s="71"/>
      <c r="U92" s="91"/>
      <c r="V92" s="71"/>
      <c r="W92" s="71"/>
      <c r="X92" s="71"/>
      <c r="Y92" s="71"/>
      <c r="Z92" s="71"/>
      <c r="AA92" s="71"/>
      <c r="AB92" s="71"/>
      <c r="AC92" s="71"/>
      <c r="AD92" s="71"/>
      <c r="AE92" s="71"/>
      <c r="AF92" s="71"/>
      <c r="AG92" s="71"/>
      <c r="AH92" s="71"/>
      <c r="AI92" s="71"/>
      <c r="AJ92" s="71"/>
      <c r="AK92" s="71"/>
      <c r="AL92" s="71"/>
      <c r="AM92" s="71"/>
      <c r="AN92" s="94"/>
      <c r="AO92" s="71"/>
      <c r="AP92" s="71"/>
      <c r="AQ92" s="71"/>
      <c r="AR92" s="77">
        <v>3</v>
      </c>
      <c r="AS92" s="79">
        <v>87084</v>
      </c>
      <c r="AT92" s="91">
        <v>3</v>
      </c>
      <c r="AU92" s="91">
        <v>87084</v>
      </c>
      <c r="AV92" s="200"/>
      <c r="AW92" s="71"/>
      <c r="AX92" s="211">
        <v>87084</v>
      </c>
      <c r="AY92" s="212"/>
    </row>
    <row r="93" spans="1:51" ht="45">
      <c r="A93" s="233" t="s">
        <v>1513</v>
      </c>
      <c r="B93" s="229" t="s">
        <v>1514</v>
      </c>
      <c r="C93" s="163">
        <v>349</v>
      </c>
      <c r="D93" s="182" t="s">
        <v>1291</v>
      </c>
      <c r="E93" s="182" t="s">
        <v>1292</v>
      </c>
      <c r="F93" s="185" t="s">
        <v>1</v>
      </c>
      <c r="G93" s="164">
        <v>83</v>
      </c>
      <c r="H93" s="165">
        <v>34218</v>
      </c>
      <c r="I93" s="165">
        <f t="shared" si="6"/>
        <v>3421.8</v>
      </c>
      <c r="J93" s="165">
        <f t="shared" si="7"/>
        <v>650.14200000000005</v>
      </c>
      <c r="K93" s="165">
        <f t="shared" si="8"/>
        <v>38289.942000000003</v>
      </c>
      <c r="L93" s="165">
        <v>1071</v>
      </c>
      <c r="M93" s="166">
        <v>0.20000000000000004</v>
      </c>
      <c r="N93" s="167">
        <v>0.97496054708048396</v>
      </c>
      <c r="O93" s="165">
        <v>856.8</v>
      </c>
      <c r="P93" s="165">
        <f t="shared" si="9"/>
        <v>85.68</v>
      </c>
      <c r="Q93" s="165">
        <f t="shared" si="10"/>
        <v>16.279200000000003</v>
      </c>
      <c r="R93" s="165">
        <f t="shared" si="11"/>
        <v>958.75919999999996</v>
      </c>
      <c r="S93" s="77">
        <v>6</v>
      </c>
      <c r="T93" s="77">
        <v>3</v>
      </c>
      <c r="U93" s="198">
        <v>2</v>
      </c>
      <c r="V93" s="77">
        <v>6</v>
      </c>
      <c r="W93" s="77">
        <v>4</v>
      </c>
      <c r="X93" s="77">
        <v>6</v>
      </c>
      <c r="Y93" s="77">
        <v>4</v>
      </c>
      <c r="Z93" s="77">
        <v>2</v>
      </c>
      <c r="AA93" s="77">
        <v>4</v>
      </c>
      <c r="AB93" s="77">
        <v>14</v>
      </c>
      <c r="AC93" s="77">
        <v>4</v>
      </c>
      <c r="AD93" s="77">
        <v>2</v>
      </c>
      <c r="AE93" s="77">
        <v>2</v>
      </c>
      <c r="AF93" s="77">
        <v>2</v>
      </c>
      <c r="AG93" s="77">
        <v>2</v>
      </c>
      <c r="AH93" s="77">
        <v>2</v>
      </c>
      <c r="AI93" s="77">
        <v>2</v>
      </c>
      <c r="AJ93" s="77">
        <v>2</v>
      </c>
      <c r="AK93" s="77">
        <v>2</v>
      </c>
      <c r="AL93" s="77">
        <v>2</v>
      </c>
      <c r="AM93" s="77">
        <v>2</v>
      </c>
      <c r="AN93" s="94">
        <v>2</v>
      </c>
      <c r="AO93" s="77">
        <v>2</v>
      </c>
      <c r="AP93" s="77">
        <v>2</v>
      </c>
      <c r="AQ93" s="77">
        <v>2</v>
      </c>
      <c r="AR93" s="77">
        <v>83</v>
      </c>
      <c r="AS93" s="79">
        <v>71114.399999999994</v>
      </c>
      <c r="AT93" s="91">
        <v>83</v>
      </c>
      <c r="AU93" s="91">
        <v>71114.399999999994</v>
      </c>
      <c r="AV93" s="200"/>
      <c r="AW93" s="71"/>
      <c r="AX93" s="200">
        <v>71114.399999999994</v>
      </c>
      <c r="AY93" s="238"/>
    </row>
    <row r="94" spans="1:51" ht="45">
      <c r="A94" s="233" t="s">
        <v>1513</v>
      </c>
      <c r="B94" s="229" t="s">
        <v>1514</v>
      </c>
      <c r="C94" s="163">
        <v>351</v>
      </c>
      <c r="D94" s="182" t="s">
        <v>1295</v>
      </c>
      <c r="E94" s="182" t="s">
        <v>1296</v>
      </c>
      <c r="F94" s="185" t="s">
        <v>1</v>
      </c>
      <c r="G94" s="164">
        <v>10</v>
      </c>
      <c r="H94" s="165">
        <v>132735</v>
      </c>
      <c r="I94" s="165">
        <f t="shared" si="6"/>
        <v>13273.5</v>
      </c>
      <c r="J94" s="165">
        <f t="shared" si="7"/>
        <v>2521.9650000000001</v>
      </c>
      <c r="K94" s="165">
        <f t="shared" si="8"/>
        <v>148530.465</v>
      </c>
      <c r="L94" s="165">
        <v>4712</v>
      </c>
      <c r="M94" s="166">
        <v>0.2</v>
      </c>
      <c r="N94" s="167">
        <v>0.97160055750178931</v>
      </c>
      <c r="O94" s="165">
        <v>3769.6</v>
      </c>
      <c r="P94" s="165">
        <f t="shared" si="9"/>
        <v>376.96000000000004</v>
      </c>
      <c r="Q94" s="165">
        <f t="shared" si="10"/>
        <v>71.622400000000013</v>
      </c>
      <c r="R94" s="165">
        <f t="shared" si="11"/>
        <v>4218.1823999999997</v>
      </c>
      <c r="S94" s="77">
        <v>10</v>
      </c>
      <c r="T94" s="71"/>
      <c r="U94" s="91"/>
      <c r="V94" s="71"/>
      <c r="W94" s="71"/>
      <c r="X94" s="71"/>
      <c r="Y94" s="71"/>
      <c r="Z94" s="71"/>
      <c r="AA94" s="71"/>
      <c r="AB94" s="71"/>
      <c r="AC94" s="71"/>
      <c r="AD94" s="71"/>
      <c r="AE94" s="71"/>
      <c r="AF94" s="71"/>
      <c r="AG94" s="71"/>
      <c r="AH94" s="71"/>
      <c r="AI94" s="71"/>
      <c r="AJ94" s="71"/>
      <c r="AK94" s="71"/>
      <c r="AL94" s="71"/>
      <c r="AM94" s="71"/>
      <c r="AN94" s="94"/>
      <c r="AO94" s="71"/>
      <c r="AP94" s="71"/>
      <c r="AQ94" s="71"/>
      <c r="AR94" s="77">
        <v>10</v>
      </c>
      <c r="AS94" s="79">
        <v>37696</v>
      </c>
      <c r="AT94" s="91">
        <v>10</v>
      </c>
      <c r="AU94" s="91">
        <v>37696</v>
      </c>
      <c r="AV94" s="200"/>
      <c r="AW94" s="71"/>
      <c r="AX94" s="200">
        <v>37696</v>
      </c>
      <c r="AY94" s="212"/>
    </row>
    <row r="95" spans="1:51" ht="45">
      <c r="A95" s="233" t="s">
        <v>1513</v>
      </c>
      <c r="B95" s="229" t="s">
        <v>1514</v>
      </c>
      <c r="C95" s="163">
        <v>354</v>
      </c>
      <c r="D95" s="182" t="s">
        <v>1301</v>
      </c>
      <c r="E95" s="182" t="s">
        <v>1302</v>
      </c>
      <c r="F95" s="185" t="s">
        <v>1</v>
      </c>
      <c r="G95" s="164">
        <v>20</v>
      </c>
      <c r="H95" s="165">
        <v>127521</v>
      </c>
      <c r="I95" s="165">
        <f t="shared" si="6"/>
        <v>12752.1</v>
      </c>
      <c r="J95" s="165">
        <f t="shared" si="7"/>
        <v>2422.8989999999999</v>
      </c>
      <c r="K95" s="165">
        <f t="shared" si="8"/>
        <v>142695.99900000001</v>
      </c>
      <c r="L95" s="165">
        <v>4136</v>
      </c>
      <c r="M95" s="166">
        <v>0.19999999999999996</v>
      </c>
      <c r="N95" s="167">
        <v>0.97405290109080078</v>
      </c>
      <c r="O95" s="165">
        <v>3308.8</v>
      </c>
      <c r="P95" s="165">
        <f t="shared" si="9"/>
        <v>330.88000000000005</v>
      </c>
      <c r="Q95" s="165">
        <f t="shared" si="10"/>
        <v>62.867200000000011</v>
      </c>
      <c r="R95" s="165">
        <f t="shared" si="11"/>
        <v>3702.5472000000004</v>
      </c>
      <c r="S95" s="77">
        <v>20</v>
      </c>
      <c r="T95" s="71"/>
      <c r="U95" s="91"/>
      <c r="V95" s="71"/>
      <c r="W95" s="71"/>
      <c r="X95" s="71"/>
      <c r="Y95" s="71"/>
      <c r="Z95" s="71"/>
      <c r="AA95" s="71"/>
      <c r="AB95" s="71"/>
      <c r="AC95" s="71"/>
      <c r="AD95" s="71"/>
      <c r="AE95" s="71"/>
      <c r="AF95" s="71"/>
      <c r="AG95" s="71"/>
      <c r="AH95" s="71"/>
      <c r="AI95" s="71"/>
      <c r="AJ95" s="71"/>
      <c r="AK95" s="71"/>
      <c r="AL95" s="71"/>
      <c r="AM95" s="71"/>
      <c r="AN95" s="94"/>
      <c r="AO95" s="71"/>
      <c r="AP95" s="71"/>
      <c r="AQ95" s="71"/>
      <c r="AR95" s="77">
        <v>20</v>
      </c>
      <c r="AS95" s="79">
        <v>66176</v>
      </c>
      <c r="AT95" s="91">
        <v>20</v>
      </c>
      <c r="AU95" s="91">
        <v>66176</v>
      </c>
      <c r="AV95" s="200"/>
      <c r="AW95" s="71"/>
      <c r="AX95" s="200">
        <v>66176</v>
      </c>
      <c r="AY95" s="212"/>
    </row>
    <row r="96" spans="1:51" ht="45">
      <c r="A96" s="233" t="s">
        <v>1513</v>
      </c>
      <c r="B96" s="229" t="s">
        <v>1514</v>
      </c>
      <c r="C96" s="163">
        <v>357</v>
      </c>
      <c r="D96" s="182" t="s">
        <v>1307</v>
      </c>
      <c r="E96" s="182" t="s">
        <v>1308</v>
      </c>
      <c r="F96" s="185" t="s">
        <v>1</v>
      </c>
      <c r="G96" s="164">
        <v>25</v>
      </c>
      <c r="H96" s="165">
        <v>115576</v>
      </c>
      <c r="I96" s="165">
        <f t="shared" si="6"/>
        <v>11557.6</v>
      </c>
      <c r="J96" s="165">
        <f t="shared" si="7"/>
        <v>2195.944</v>
      </c>
      <c r="K96" s="165">
        <f t="shared" si="8"/>
        <v>129329.54400000001</v>
      </c>
      <c r="L96" s="165">
        <v>2827</v>
      </c>
      <c r="M96" s="166">
        <v>0.20000000000000004</v>
      </c>
      <c r="N96" s="167">
        <v>0.98043192358275078</v>
      </c>
      <c r="O96" s="165">
        <v>2261.6</v>
      </c>
      <c r="P96" s="165">
        <f t="shared" si="9"/>
        <v>226.16</v>
      </c>
      <c r="Q96" s="165">
        <f t="shared" si="10"/>
        <v>42.970399999999998</v>
      </c>
      <c r="R96" s="165">
        <f t="shared" si="11"/>
        <v>2530.7303999999999</v>
      </c>
      <c r="S96" s="77">
        <v>25</v>
      </c>
      <c r="T96" s="71"/>
      <c r="U96" s="91"/>
      <c r="V96" s="71"/>
      <c r="W96" s="71"/>
      <c r="X96" s="71"/>
      <c r="Y96" s="71"/>
      <c r="Z96" s="71"/>
      <c r="AA96" s="71"/>
      <c r="AB96" s="71"/>
      <c r="AC96" s="71"/>
      <c r="AD96" s="71"/>
      <c r="AE96" s="71"/>
      <c r="AF96" s="71"/>
      <c r="AG96" s="71"/>
      <c r="AH96" s="71"/>
      <c r="AI96" s="71"/>
      <c r="AJ96" s="71"/>
      <c r="AK96" s="71"/>
      <c r="AL96" s="71"/>
      <c r="AM96" s="71"/>
      <c r="AN96" s="94"/>
      <c r="AO96" s="71"/>
      <c r="AP96" s="71"/>
      <c r="AQ96" s="71"/>
      <c r="AR96" s="77">
        <v>25</v>
      </c>
      <c r="AS96" s="79">
        <v>56540</v>
      </c>
      <c r="AT96" s="91">
        <v>25</v>
      </c>
      <c r="AU96" s="91">
        <v>56540</v>
      </c>
      <c r="AV96" s="200"/>
      <c r="AW96" s="71"/>
      <c r="AX96" s="200">
        <v>56540</v>
      </c>
      <c r="AY96" s="212"/>
    </row>
    <row r="97" spans="4:51">
      <c r="D97" s="74"/>
      <c r="E97" s="183"/>
      <c r="F97" s="183"/>
      <c r="I97" s="165">
        <f t="shared" si="6"/>
        <v>0</v>
      </c>
      <c r="J97" s="165">
        <f t="shared" si="7"/>
        <v>0</v>
      </c>
      <c r="K97" s="165">
        <f t="shared" si="8"/>
        <v>0</v>
      </c>
      <c r="P97" s="165">
        <f t="shared" si="9"/>
        <v>0</v>
      </c>
      <c r="Q97" s="165">
        <f t="shared" si="10"/>
        <v>0</v>
      </c>
      <c r="R97" s="165">
        <f t="shared" si="11"/>
        <v>0</v>
      </c>
      <c r="AS97" s="199">
        <v>59702658.800000004</v>
      </c>
      <c r="AU97" s="202">
        <v>56377792.29999999</v>
      </c>
      <c r="AW97">
        <v>8980332</v>
      </c>
      <c r="AX97" s="203">
        <v>65358124.29999999</v>
      </c>
      <c r="AY97" s="212"/>
    </row>
    <row r="99" spans="4:51">
      <c r="H99" s="236"/>
      <c r="I99" s="236"/>
      <c r="J99" s="236"/>
      <c r="K99" s="236"/>
      <c r="AW99">
        <f>+AW82*10%</f>
        <v>-2162.6</v>
      </c>
      <c r="AX99" s="210">
        <f>+AX87+AX89+AX90+AX91+AX92+AX94+AX95+AX96</f>
        <v>1034100.0000000001</v>
      </c>
    </row>
    <row r="100" spans="4:51">
      <c r="H100" s="236"/>
      <c r="I100" s="236"/>
      <c r="J100" s="236"/>
      <c r="K100" s="236"/>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W100">
        <f>+AW99*19%</f>
        <v>-410.89400000000001</v>
      </c>
      <c r="AX100">
        <f>+AX99*10%</f>
        <v>103410.00000000001</v>
      </c>
    </row>
    <row r="101" spans="4:51">
      <c r="H101" s="236"/>
      <c r="I101" s="236"/>
      <c r="J101" s="236"/>
      <c r="K101" s="236"/>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W101" s="212">
        <f>+AW82+AW99+AW100</f>
        <v>-24199.493999999999</v>
      </c>
      <c r="AX101" s="210">
        <f>+AX100*19%</f>
        <v>19647.900000000001</v>
      </c>
    </row>
    <row r="102" spans="4:51">
      <c r="O102" s="212"/>
      <c r="P102" s="212"/>
      <c r="Q102" s="212"/>
      <c r="R102" s="212"/>
      <c r="AX102" s="210">
        <f>+AX99+AX100+AX101</f>
        <v>1157157.9000000001</v>
      </c>
    </row>
    <row r="103" spans="4:51">
      <c r="AE103" s="212"/>
      <c r="AL103" s="212"/>
      <c r="AQ103" s="212"/>
    </row>
    <row r="107" spans="4:51">
      <c r="S107" s="212"/>
      <c r="T107" s="212"/>
    </row>
    <row r="109" spans="4:51">
      <c r="AP109" s="212"/>
    </row>
    <row r="110" spans="4:51">
      <c r="AM110" s="212"/>
    </row>
  </sheetData>
  <autoFilter ref="A1:AY97"/>
  <conditionalFormatting sqref="G2:G96">
    <cfRule type="cellIs" dxfId="2" priority="1" operator="equal">
      <formula>0</formula>
    </cfRule>
  </conditionalFormatting>
  <conditionalFormatting sqref="H2:M2 O2:R2 H3:H96 L3:M96 I3:K97 O3:O96 P3:R97">
    <cfRule type="expression" dxfId="1" priority="2">
      <formula>ISERROR($S2)</formula>
    </cfRule>
  </conditionalFormatting>
  <dataValidations count="3">
    <dataValidation operator="lessThan" allowBlank="1" showErrorMessage="1" errorTitle="Error" error="El valor es menor que el minimo permitido" sqref="O2:O96 P2:R97"/>
    <dataValidation type="decimal" allowBlank="1" showInputMessage="1" showErrorMessage="1" errorTitle="Descuento no valido" error="Solo la mitad de los items pueden tener un descuento máximo del 25%._x000a__x000a_La otra mitad puede tener un descuento máximo del 20%." sqref="M2:M96">
      <formula1>-1</formula1>
      <formula2>$O$11</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N2:N96">
      <formula1>M2&lt;$O$11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workbookViewId="0">
      <selection activeCell="AE10" sqref="AE10"/>
    </sheetView>
  </sheetViews>
  <sheetFormatPr baseColWidth="10" defaultRowHeight="15"/>
  <cols>
    <col min="1" max="1" width="21.7109375" bestFit="1" customWidth="1"/>
    <col min="2" max="2" width="49.42578125" customWidth="1"/>
    <col min="3" max="3" width="16.7109375" hidden="1" customWidth="1"/>
    <col min="4" max="5" width="15.5703125" hidden="1" customWidth="1"/>
    <col min="6" max="6" width="14.5703125" hidden="1" customWidth="1"/>
    <col min="7" max="13" width="15.5703125" hidden="1" customWidth="1"/>
    <col min="14" max="17" width="14.5703125" hidden="1" customWidth="1"/>
    <col min="18" max="18" width="15.5703125" hidden="1" customWidth="1"/>
    <col min="19" max="19" width="14.5703125" hidden="1" customWidth="1"/>
    <col min="20" max="22" width="15.5703125" hidden="1" customWidth="1"/>
    <col min="23" max="24" width="14.5703125" hidden="1" customWidth="1"/>
    <col min="25" max="25" width="15.5703125" hidden="1" customWidth="1"/>
    <col min="26" max="27" width="14.5703125" hidden="1" customWidth="1"/>
    <col min="28" max="28" width="14" bestFit="1" customWidth="1"/>
  </cols>
  <sheetData>
    <row r="1" spans="1:28">
      <c r="A1" s="205" t="s">
        <v>1428</v>
      </c>
      <c r="B1" s="205" t="s">
        <v>1429</v>
      </c>
      <c r="C1" s="205" t="s">
        <v>192</v>
      </c>
      <c r="D1" s="205" t="s">
        <v>195</v>
      </c>
      <c r="E1" s="205" t="s">
        <v>197</v>
      </c>
      <c r="F1" s="205" t="s">
        <v>199</v>
      </c>
      <c r="G1" s="205" t="s">
        <v>201</v>
      </c>
      <c r="H1" s="205" t="s">
        <v>203</v>
      </c>
      <c r="I1" s="205" t="s">
        <v>205</v>
      </c>
      <c r="J1" s="205" t="s">
        <v>207</v>
      </c>
      <c r="K1" s="205" t="s">
        <v>209</v>
      </c>
      <c r="L1" s="205" t="s">
        <v>211</v>
      </c>
      <c r="M1" s="205" t="s">
        <v>213</v>
      </c>
      <c r="N1" s="205" t="s">
        <v>215</v>
      </c>
      <c r="O1" s="205" t="s">
        <v>217</v>
      </c>
      <c r="P1" s="205" t="s">
        <v>219</v>
      </c>
      <c r="Q1" s="205" t="s">
        <v>221</v>
      </c>
      <c r="R1" s="205" t="s">
        <v>223</v>
      </c>
      <c r="S1" s="205" t="s">
        <v>225</v>
      </c>
      <c r="T1" s="205" t="s">
        <v>227</v>
      </c>
      <c r="U1" s="205" t="s">
        <v>229</v>
      </c>
      <c r="V1" s="205" t="s">
        <v>231</v>
      </c>
      <c r="W1" s="205" t="s">
        <v>233</v>
      </c>
      <c r="X1" s="205" t="s">
        <v>235</v>
      </c>
      <c r="Y1" s="205" t="s">
        <v>237</v>
      </c>
      <c r="Z1" s="205" t="s">
        <v>239</v>
      </c>
      <c r="AA1" s="205" t="s">
        <v>241</v>
      </c>
      <c r="AB1" s="235" t="s">
        <v>1535</v>
      </c>
    </row>
    <row r="2" spans="1:28">
      <c r="A2" s="207" t="s">
        <v>1433</v>
      </c>
      <c r="B2" s="207" t="s">
        <v>1434</v>
      </c>
      <c r="C2" s="208">
        <f>(60*5720.328)+(20*13310.505)+79186.035</f>
        <v>688615.81500000006</v>
      </c>
      <c r="D2" s="208">
        <f>30*5720.328</f>
        <v>171609.84000000003</v>
      </c>
      <c r="E2" s="208">
        <f>30*5720.328</f>
        <v>171609.84000000003</v>
      </c>
      <c r="F2" s="208"/>
      <c r="G2" s="208">
        <f>60*5720.328</f>
        <v>343219.68000000005</v>
      </c>
      <c r="H2" s="208">
        <f>60*5720.328</f>
        <v>343219.68000000005</v>
      </c>
      <c r="I2" s="208">
        <f>60*5720.328</f>
        <v>343219.68000000005</v>
      </c>
      <c r="J2" s="208">
        <f>20*5720.328</f>
        <v>114406.56000000001</v>
      </c>
      <c r="K2" s="208">
        <f>60*5720.328</f>
        <v>343219.68000000005</v>
      </c>
      <c r="L2" s="208">
        <f>60*5720.328</f>
        <v>343219.68000000005</v>
      </c>
      <c r="M2" s="208">
        <f>60*5720.328</f>
        <v>343219.68000000005</v>
      </c>
      <c r="N2" s="208">
        <f>20*5720.328</f>
        <v>114406.56000000001</v>
      </c>
      <c r="O2" s="208">
        <f>30*5720.328</f>
        <v>171609.84000000003</v>
      </c>
      <c r="P2" s="208">
        <f>10*5720.328</f>
        <v>57203.280000000006</v>
      </c>
      <c r="Q2" s="208">
        <f>10*5720.328</f>
        <v>57203.280000000006</v>
      </c>
      <c r="R2" s="208">
        <f>60*5720.328</f>
        <v>343219.68000000005</v>
      </c>
      <c r="S2" s="208">
        <f>10*5720.328</f>
        <v>57203.280000000006</v>
      </c>
      <c r="T2" s="208">
        <f>20*5720.328</f>
        <v>114406.56000000001</v>
      </c>
      <c r="U2" s="208">
        <f>45*5720.328</f>
        <v>257414.76</v>
      </c>
      <c r="V2" s="208">
        <f>10*5720.328</f>
        <v>57203.280000000006</v>
      </c>
      <c r="W2" s="208">
        <f>30*5720.328</f>
        <v>171609.84000000003</v>
      </c>
      <c r="X2" s="208"/>
      <c r="Y2" s="208">
        <f>20*5720.328</f>
        <v>114406.56000000001</v>
      </c>
      <c r="Z2" s="208">
        <f>30*5720.328</f>
        <v>171609.84000000003</v>
      </c>
      <c r="AA2" s="208">
        <v>0</v>
      </c>
      <c r="AB2" s="241">
        <f>SUM(C2:AA2)</f>
        <v>4893056.8950000005</v>
      </c>
    </row>
    <row r="3" spans="1:28">
      <c r="A3" s="209" t="s">
        <v>1435</v>
      </c>
      <c r="B3" s="209" t="s">
        <v>1436</v>
      </c>
      <c r="C3" s="79">
        <f>450*11652.147</f>
        <v>5243466.1500000004</v>
      </c>
      <c r="D3" s="79">
        <f>40*11652.147</f>
        <v>466085.88</v>
      </c>
      <c r="E3" s="79">
        <f>40*11652.147</f>
        <v>466085.88</v>
      </c>
      <c r="F3" s="79"/>
      <c r="G3" s="79">
        <f>50*11652.147</f>
        <v>582607.35000000009</v>
      </c>
      <c r="H3" s="79">
        <f>40*11652.147</f>
        <v>466085.88</v>
      </c>
      <c r="I3" s="79">
        <f>50*11652.147</f>
        <v>582607.35000000009</v>
      </c>
      <c r="J3" s="79">
        <f>30*11652.147</f>
        <v>349564.41000000003</v>
      </c>
      <c r="K3" s="79">
        <f>50*11652.147</f>
        <v>582607.35000000009</v>
      </c>
      <c r="L3" s="79">
        <f>40*11652.147</f>
        <v>466085.88</v>
      </c>
      <c r="M3" s="79">
        <f>40*11652.147</f>
        <v>466085.88</v>
      </c>
      <c r="N3" s="79">
        <f>10*11652.147</f>
        <v>116521.47</v>
      </c>
      <c r="O3" s="79">
        <f>20*11652.147</f>
        <v>233042.94</v>
      </c>
      <c r="P3" s="79">
        <f>10*11652.147</f>
        <v>116521.47</v>
      </c>
      <c r="Q3" s="79">
        <f>10*11652.147</f>
        <v>116521.47</v>
      </c>
      <c r="R3" s="79">
        <f>40*11652.147</f>
        <v>466085.88</v>
      </c>
      <c r="S3" s="79">
        <f>10*11652.147</f>
        <v>116521.47</v>
      </c>
      <c r="T3" s="79">
        <f>20*11652.147</f>
        <v>233042.94</v>
      </c>
      <c r="U3" s="79">
        <f>40*11652.147</f>
        <v>466085.88</v>
      </c>
      <c r="V3" s="79">
        <f>60*11652.147</f>
        <v>699128.82000000007</v>
      </c>
      <c r="W3" s="79">
        <f>40*11652.147</f>
        <v>466085.88</v>
      </c>
      <c r="X3" s="79"/>
      <c r="Y3" s="79">
        <f>20*11652.147</f>
        <v>233042.94</v>
      </c>
      <c r="Z3" s="79">
        <f>30*11652.147</f>
        <v>349564.41000000003</v>
      </c>
      <c r="AA3" s="79"/>
      <c r="AB3" s="242">
        <f t="shared" ref="AB3:AB44" si="0">SUM(C3:AA3)</f>
        <v>13283447.580000006</v>
      </c>
    </row>
    <row r="4" spans="1:28">
      <c r="A4" s="207" t="s">
        <v>1437</v>
      </c>
      <c r="B4" s="207" t="s">
        <v>1438</v>
      </c>
      <c r="C4" s="208">
        <v>70981.303199999995</v>
      </c>
      <c r="D4" s="208"/>
      <c r="E4" s="208"/>
      <c r="F4" s="208"/>
      <c r="G4" s="208"/>
      <c r="H4" s="208"/>
      <c r="I4" s="208"/>
      <c r="J4" s="208"/>
      <c r="K4" s="208"/>
      <c r="L4" s="208"/>
      <c r="M4" s="208"/>
      <c r="N4" s="208"/>
      <c r="O4" s="208"/>
      <c r="P4" s="208"/>
      <c r="Q4" s="208"/>
      <c r="R4" s="208"/>
      <c r="S4" s="208"/>
      <c r="T4" s="208"/>
      <c r="U4" s="208"/>
      <c r="V4" s="208"/>
      <c r="W4" s="208"/>
      <c r="X4" s="208"/>
      <c r="Y4" s="208"/>
      <c r="Z4" s="208"/>
      <c r="AA4" s="208"/>
      <c r="AB4" s="241">
        <f t="shared" si="0"/>
        <v>70981.303199999995</v>
      </c>
    </row>
    <row r="5" spans="1:28">
      <c r="A5" s="209" t="s">
        <v>1439</v>
      </c>
      <c r="B5" s="209" t="s">
        <v>1440</v>
      </c>
      <c r="C5" s="79">
        <v>18812.628000000001</v>
      </c>
      <c r="D5" s="79"/>
      <c r="E5" s="79"/>
      <c r="F5" s="79"/>
      <c r="G5" s="79"/>
      <c r="H5" s="79"/>
      <c r="I5" s="79"/>
      <c r="J5" s="79"/>
      <c r="K5" s="79"/>
      <c r="L5" s="79"/>
      <c r="M5" s="79"/>
      <c r="N5" s="79"/>
      <c r="O5" s="79"/>
      <c r="P5" s="79"/>
      <c r="Q5" s="79"/>
      <c r="R5" s="79"/>
      <c r="S5" s="79"/>
      <c r="T5" s="79"/>
      <c r="U5" s="79"/>
      <c r="V5" s="79"/>
      <c r="W5" s="79"/>
      <c r="X5" s="79"/>
      <c r="Y5" s="79"/>
      <c r="Z5" s="79"/>
      <c r="AA5" s="79"/>
      <c r="AB5" s="242">
        <f t="shared" si="0"/>
        <v>18812.628000000001</v>
      </c>
    </row>
    <row r="6" spans="1:28">
      <c r="A6" s="207" t="s">
        <v>1441</v>
      </c>
      <c r="B6" s="207" t="s">
        <v>1442</v>
      </c>
      <c r="C6" s="208">
        <v>1491769.2749999999</v>
      </c>
      <c r="D6" s="208">
        <v>115480.79999999999</v>
      </c>
      <c r="E6" s="208">
        <v>72175.5</v>
      </c>
      <c r="F6" s="208">
        <v>0</v>
      </c>
      <c r="G6" s="208">
        <v>127406.5425</v>
      </c>
      <c r="H6" s="208">
        <v>86610.6</v>
      </c>
      <c r="I6" s="208">
        <v>144351</v>
      </c>
      <c r="J6" s="208">
        <v>69666.142499999987</v>
      </c>
      <c r="K6" s="208">
        <v>127406.5425</v>
      </c>
      <c r="L6" s="208">
        <v>69666.142499999987</v>
      </c>
      <c r="M6" s="208">
        <v>115480.79999999999</v>
      </c>
      <c r="N6" s="208">
        <v>11925.7425</v>
      </c>
      <c r="O6" s="208">
        <v>28870.199999999997</v>
      </c>
      <c r="P6" s="208">
        <v>26485.051499999998</v>
      </c>
      <c r="Q6" s="208">
        <v>28870.199999999997</v>
      </c>
      <c r="R6" s="208">
        <v>35777.227500000001</v>
      </c>
      <c r="S6" s="208">
        <v>40795.942499999997</v>
      </c>
      <c r="T6" s="208">
        <v>47702.97</v>
      </c>
      <c r="U6" s="208">
        <v>56423.616750000001</v>
      </c>
      <c r="V6" s="208">
        <v>71554.455000000002</v>
      </c>
      <c r="W6" s="208">
        <v>35777.227500000001</v>
      </c>
      <c r="X6" s="208">
        <v>0</v>
      </c>
      <c r="Y6" s="208">
        <v>57740.399999999994</v>
      </c>
      <c r="Z6" s="208">
        <v>17888.61375</v>
      </c>
      <c r="AA6" s="208">
        <v>0</v>
      </c>
      <c r="AB6" s="241">
        <f t="shared" si="0"/>
        <v>2879824.9920000006</v>
      </c>
    </row>
    <row r="7" spans="1:28">
      <c r="A7" s="209" t="s">
        <v>1443</v>
      </c>
      <c r="B7" s="209" t="s">
        <v>1444</v>
      </c>
      <c r="C7" s="79"/>
      <c r="D7" s="79">
        <v>11709.2160000002</v>
      </c>
      <c r="E7" s="79">
        <v>87147.719999999987</v>
      </c>
      <c r="F7" s="79">
        <v>0</v>
      </c>
      <c r="G7" s="79">
        <v>87147.719999999987</v>
      </c>
      <c r="H7" s="79">
        <v>87147.719999999987</v>
      </c>
      <c r="I7" s="79">
        <v>87147.719999999987</v>
      </c>
      <c r="J7" s="79">
        <v>87147.719999999987</v>
      </c>
      <c r="K7" s="79">
        <v>87147.719999999987</v>
      </c>
      <c r="L7" s="79">
        <v>87147.719999999987</v>
      </c>
      <c r="M7" s="79">
        <v>87147.719999999987</v>
      </c>
      <c r="N7" s="79">
        <v>87147.719999999987</v>
      </c>
      <c r="O7" s="79">
        <v>69718.175999999992</v>
      </c>
      <c r="P7" s="79">
        <v>52288.631999999998</v>
      </c>
      <c r="Q7" s="79">
        <v>52288.631999999998</v>
      </c>
      <c r="R7" s="79">
        <v>87147.719999999987</v>
      </c>
      <c r="S7" s="79">
        <v>52288.631999999998</v>
      </c>
      <c r="T7" s="79">
        <v>69718.175999999992</v>
      </c>
      <c r="U7" s="79">
        <v>130721.57999999999</v>
      </c>
      <c r="V7" s="79">
        <v>87147.719999999987</v>
      </c>
      <c r="W7" s="79">
        <v>0</v>
      </c>
      <c r="X7" s="79">
        <v>0</v>
      </c>
      <c r="Y7" s="79">
        <v>34859.087999999996</v>
      </c>
      <c r="Z7" s="79">
        <v>0</v>
      </c>
      <c r="AA7" s="79">
        <v>0</v>
      </c>
      <c r="AB7" s="242">
        <f t="shared" si="0"/>
        <v>1432217.0519999999</v>
      </c>
    </row>
    <row r="8" spans="1:28">
      <c r="A8" s="207" t="s">
        <v>1445</v>
      </c>
      <c r="B8" s="207" t="s">
        <v>1446</v>
      </c>
      <c r="C8" s="208">
        <v>80034.236999999994</v>
      </c>
      <c r="D8" s="208">
        <v>8298.5040000000008</v>
      </c>
      <c r="E8" s="208">
        <v>8298.5040000000008</v>
      </c>
      <c r="F8" s="208">
        <v>0</v>
      </c>
      <c r="G8" s="208">
        <v>8298.5040000000008</v>
      </c>
      <c r="H8" s="208">
        <v>8298.5040000000008</v>
      </c>
      <c r="I8" s="208">
        <v>8298.5040000000008</v>
      </c>
      <c r="J8" s="208">
        <v>8298.5040000000008</v>
      </c>
      <c r="K8" s="208">
        <v>16597.008000000002</v>
      </c>
      <c r="L8" s="208">
        <v>16597.008000000002</v>
      </c>
      <c r="M8" s="208">
        <v>16597.008000000002</v>
      </c>
      <c r="N8" s="208">
        <v>8298.5040000000008</v>
      </c>
      <c r="O8" s="208">
        <v>8298.5040000000008</v>
      </c>
      <c r="P8" s="208">
        <v>8298.5040000000008</v>
      </c>
      <c r="Q8" s="208">
        <v>8298.5040000000008</v>
      </c>
      <c r="R8" s="208">
        <v>16597.008000000002</v>
      </c>
      <c r="S8" s="208">
        <v>8298.5040000000008</v>
      </c>
      <c r="T8" s="208">
        <v>0</v>
      </c>
      <c r="U8" s="208">
        <v>12447.756000000001</v>
      </c>
      <c r="V8" s="208">
        <v>6223.8780000000006</v>
      </c>
      <c r="W8" s="208">
        <v>114949.27499999999</v>
      </c>
      <c r="X8" s="208">
        <v>0</v>
      </c>
      <c r="Y8" s="208">
        <v>0</v>
      </c>
      <c r="Z8" s="208">
        <v>56352.84</v>
      </c>
      <c r="AA8" s="208">
        <v>0</v>
      </c>
      <c r="AB8" s="241">
        <f t="shared" si="0"/>
        <v>427679.56200000003</v>
      </c>
    </row>
    <row r="9" spans="1:28">
      <c r="A9" s="209" t="s">
        <v>1447</v>
      </c>
      <c r="B9" s="209" t="s">
        <v>1448</v>
      </c>
      <c r="C9" s="79">
        <v>40847.976000000002</v>
      </c>
      <c r="D9" s="79">
        <v>9695.0159999999996</v>
      </c>
      <c r="E9" s="79">
        <v>9695.0159999999996</v>
      </c>
      <c r="F9" s="79">
        <v>0</v>
      </c>
      <c r="G9" s="79">
        <v>9695.0159999999996</v>
      </c>
      <c r="H9" s="79">
        <v>9695.0159999999996</v>
      </c>
      <c r="I9" s="79">
        <v>9695.0159999999996</v>
      </c>
      <c r="J9" s="79">
        <v>9695.0159999999996</v>
      </c>
      <c r="K9" s="79">
        <v>9695.0159999999996</v>
      </c>
      <c r="L9" s="79">
        <v>9695.0159999999996</v>
      </c>
      <c r="M9" s="79">
        <v>9695.0159999999996</v>
      </c>
      <c r="N9" s="79">
        <v>9695.0159999999996</v>
      </c>
      <c r="O9" s="79">
        <v>4847.5079999999998</v>
      </c>
      <c r="P9" s="79">
        <v>4847.5079999999998</v>
      </c>
      <c r="Q9" s="79">
        <v>4847.5079999999998</v>
      </c>
      <c r="R9" s="79">
        <v>0</v>
      </c>
      <c r="S9" s="79">
        <v>4847.5079999999998</v>
      </c>
      <c r="T9" s="79">
        <v>0</v>
      </c>
      <c r="U9" s="79">
        <v>0</v>
      </c>
      <c r="V9" s="79">
        <v>0</v>
      </c>
      <c r="W9" s="79">
        <v>11596.197</v>
      </c>
      <c r="X9" s="79">
        <v>0</v>
      </c>
      <c r="Y9" s="79">
        <v>6059.3850000000002</v>
      </c>
      <c r="Z9" s="79">
        <v>5536.8119999999999</v>
      </c>
      <c r="AA9" s="79">
        <v>6957.7181999999993</v>
      </c>
      <c r="AB9" s="242">
        <f t="shared" si="0"/>
        <v>187338.28020000007</v>
      </c>
    </row>
    <row r="10" spans="1:28">
      <c r="A10" s="207" t="s">
        <v>1449</v>
      </c>
      <c r="B10" s="207" t="s">
        <v>1450</v>
      </c>
      <c r="C10" s="208">
        <v>233401.02</v>
      </c>
      <c r="D10" s="208">
        <v>46524.942750000002</v>
      </c>
      <c r="E10" s="208">
        <v>39834.162000000004</v>
      </c>
      <c r="F10" s="208">
        <v>0</v>
      </c>
      <c r="G10" s="208">
        <v>39834.162000000004</v>
      </c>
      <c r="H10" s="208">
        <v>39834.162000000004</v>
      </c>
      <c r="I10" s="208">
        <v>39834.162000000004</v>
      </c>
      <c r="J10" s="208">
        <v>39834.162000000004</v>
      </c>
      <c r="K10" s="208">
        <v>39834.162000000004</v>
      </c>
      <c r="L10" s="208">
        <v>39834.162000000004</v>
      </c>
      <c r="M10" s="208">
        <v>39834.162000000004</v>
      </c>
      <c r="N10" s="208">
        <v>39834.162000000004</v>
      </c>
      <c r="O10" s="208">
        <v>19917.081000000002</v>
      </c>
      <c r="P10" s="208">
        <v>19917.081000000002</v>
      </c>
      <c r="Q10" s="208">
        <v>19917.081000000002</v>
      </c>
      <c r="R10" s="208">
        <v>39834.162000000004</v>
      </c>
      <c r="S10" s="208">
        <v>19917.081000000002</v>
      </c>
      <c r="T10" s="208">
        <v>19636.212</v>
      </c>
      <c r="U10" s="208">
        <v>116700.51</v>
      </c>
      <c r="V10" s="208">
        <v>44199.101250000007</v>
      </c>
      <c r="W10" s="208">
        <v>78439.662000000011</v>
      </c>
      <c r="X10" s="208">
        <v>0</v>
      </c>
      <c r="Y10" s="208">
        <v>0</v>
      </c>
      <c r="Z10" s="208">
        <v>58983.329250000003</v>
      </c>
      <c r="AA10" s="208">
        <v>0</v>
      </c>
      <c r="AB10" s="241">
        <f t="shared" si="0"/>
        <v>1075894.7212500002</v>
      </c>
    </row>
    <row r="11" spans="1:28">
      <c r="A11" s="209" t="s">
        <v>1451</v>
      </c>
      <c r="B11" s="209" t="s">
        <v>1452</v>
      </c>
      <c r="C11" s="79">
        <v>1132193.5695</v>
      </c>
      <c r="D11" s="79">
        <v>289836.8898</v>
      </c>
      <c r="E11" s="79">
        <v>139212.7758</v>
      </c>
      <c r="F11" s="79">
        <v>0</v>
      </c>
      <c r="G11" s="79">
        <v>139212.7758</v>
      </c>
      <c r="H11" s="79">
        <v>139212.7758</v>
      </c>
      <c r="I11" s="79">
        <v>139212.7758</v>
      </c>
      <c r="J11" s="79">
        <v>139212.7758</v>
      </c>
      <c r="K11" s="79">
        <v>139212.7758</v>
      </c>
      <c r="L11" s="79">
        <v>139212.7758</v>
      </c>
      <c r="M11" s="79">
        <v>139212.7758</v>
      </c>
      <c r="N11" s="79">
        <v>28683.550799999997</v>
      </c>
      <c r="O11" s="79">
        <v>128493.87480000001</v>
      </c>
      <c r="P11" s="79">
        <v>128493.87480000001</v>
      </c>
      <c r="Q11" s="79">
        <v>128493.87480000001</v>
      </c>
      <c r="R11" s="79">
        <v>139212.7758</v>
      </c>
      <c r="S11" s="79">
        <v>128493.87480000001</v>
      </c>
      <c r="T11" s="79">
        <v>170705.68799999999</v>
      </c>
      <c r="U11" s="79">
        <v>0</v>
      </c>
      <c r="V11" s="79">
        <v>110529.22500000001</v>
      </c>
      <c r="W11" s="79">
        <v>1177306.0545000001</v>
      </c>
      <c r="X11" s="79">
        <v>0</v>
      </c>
      <c r="Y11" s="79">
        <v>28637.3361</v>
      </c>
      <c r="Z11" s="79">
        <v>452996.26560000004</v>
      </c>
      <c r="AA11" s="79">
        <v>4149.2519999999995</v>
      </c>
      <c r="AB11" s="242">
        <f t="shared" si="0"/>
        <v>5161928.3126999997</v>
      </c>
    </row>
    <row r="12" spans="1:28">
      <c r="A12" s="207" t="s">
        <v>1453</v>
      </c>
      <c r="B12" s="207" t="s">
        <v>1454</v>
      </c>
      <c r="C12" s="208">
        <v>62224.0092</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41">
        <f t="shared" si="0"/>
        <v>62224.0092</v>
      </c>
    </row>
    <row r="13" spans="1:28">
      <c r="A13" s="209" t="s">
        <v>1455</v>
      </c>
      <c r="B13" s="209" t="s">
        <v>1456</v>
      </c>
      <c r="C13" s="79">
        <v>57765.577499999999</v>
      </c>
      <c r="D13" s="79">
        <v>8248.1490000000013</v>
      </c>
      <c r="E13" s="79">
        <v>8248.1490000000013</v>
      </c>
      <c r="F13" s="79">
        <v>8248.1490000000013</v>
      </c>
      <c r="G13" s="79">
        <v>8248.1490000000013</v>
      </c>
      <c r="H13" s="79">
        <v>8248.1490000000013</v>
      </c>
      <c r="I13" s="79">
        <v>8248.1490000000013</v>
      </c>
      <c r="J13" s="79">
        <v>8248.1490000000013</v>
      </c>
      <c r="K13" s="79">
        <v>0</v>
      </c>
      <c r="L13" s="79">
        <v>8248.1490000000013</v>
      </c>
      <c r="M13" s="79">
        <v>8248.1490000000013</v>
      </c>
      <c r="N13" s="79">
        <v>0</v>
      </c>
      <c r="O13" s="79">
        <v>4124.0745000000006</v>
      </c>
      <c r="P13" s="79">
        <v>4124.0745000000006</v>
      </c>
      <c r="Q13" s="79">
        <v>4124.0745000000006</v>
      </c>
      <c r="R13" s="79">
        <v>8248.1490000000013</v>
      </c>
      <c r="S13" s="79">
        <v>4124.0745000000006</v>
      </c>
      <c r="T13" s="79">
        <v>10310.186250000002</v>
      </c>
      <c r="U13" s="79">
        <v>12372.223500000002</v>
      </c>
      <c r="V13" s="79">
        <v>10310.186250000002</v>
      </c>
      <c r="W13" s="79">
        <v>41240.74500000001</v>
      </c>
      <c r="X13" s="79">
        <v>0</v>
      </c>
      <c r="Y13" s="79">
        <v>0</v>
      </c>
      <c r="Z13" s="79">
        <v>37116.670500000007</v>
      </c>
      <c r="AA13" s="79">
        <v>0</v>
      </c>
      <c r="AB13" s="242">
        <f t="shared" si="0"/>
        <v>268093.37699999998</v>
      </c>
    </row>
    <row r="14" spans="1:28">
      <c r="A14" s="207" t="s">
        <v>1457</v>
      </c>
      <c r="B14" s="207" t="s">
        <v>1458</v>
      </c>
      <c r="C14" s="208">
        <v>1134397.4399999999</v>
      </c>
      <c r="D14" s="208">
        <v>283599.35999999999</v>
      </c>
      <c r="E14" s="208">
        <v>283599.35999999999</v>
      </c>
      <c r="F14" s="208">
        <v>0</v>
      </c>
      <c r="G14" s="208">
        <v>708998.4</v>
      </c>
      <c r="H14" s="208">
        <v>567198.71999999997</v>
      </c>
      <c r="I14" s="208">
        <v>425399.04000000004</v>
      </c>
      <c r="J14" s="208">
        <v>70899.839999999997</v>
      </c>
      <c r="K14" s="208">
        <v>567198.71999999997</v>
      </c>
      <c r="L14" s="208">
        <v>425399.04000000004</v>
      </c>
      <c r="M14" s="208">
        <v>567198.71999999997</v>
      </c>
      <c r="N14" s="208">
        <v>141799.67999999999</v>
      </c>
      <c r="O14" s="208">
        <v>283599.35999999999</v>
      </c>
      <c r="P14" s="208">
        <v>283599.35999999999</v>
      </c>
      <c r="Q14" s="208">
        <v>283599.35999999999</v>
      </c>
      <c r="R14" s="208">
        <v>425399.04000000004</v>
      </c>
      <c r="S14" s="208">
        <v>141799.67999999999</v>
      </c>
      <c r="T14" s="208">
        <v>212699.52000000002</v>
      </c>
      <c r="U14" s="208">
        <v>212699.52000000002</v>
      </c>
      <c r="V14" s="208">
        <v>212699.52000000002</v>
      </c>
      <c r="W14" s="208">
        <v>248149.44</v>
      </c>
      <c r="X14" s="208">
        <v>0</v>
      </c>
      <c r="Y14" s="208">
        <v>212699.52000000002</v>
      </c>
      <c r="Z14" s="208">
        <v>0</v>
      </c>
      <c r="AA14" s="208"/>
      <c r="AB14" s="241">
        <f t="shared" si="0"/>
        <v>7692632.6399999987</v>
      </c>
    </row>
    <row r="15" spans="1:28">
      <c r="A15" s="209" t="s">
        <v>1459</v>
      </c>
      <c r="B15" s="209" t="s">
        <v>1460</v>
      </c>
      <c r="C15" s="79">
        <v>185642.1</v>
      </c>
      <c r="D15" s="79"/>
      <c r="E15" s="79"/>
      <c r="F15" s="79"/>
      <c r="G15" s="79"/>
      <c r="H15" s="79"/>
      <c r="I15" s="79"/>
      <c r="J15" s="79"/>
      <c r="K15" s="79"/>
      <c r="L15" s="79"/>
      <c r="M15" s="79"/>
      <c r="N15" s="79"/>
      <c r="O15" s="79"/>
      <c r="P15" s="79"/>
      <c r="Q15" s="79"/>
      <c r="R15" s="79"/>
      <c r="S15" s="79"/>
      <c r="T15" s="79"/>
      <c r="U15" s="79">
        <v>16400.063999999998</v>
      </c>
      <c r="V15" s="79">
        <v>111385.26000000001</v>
      </c>
      <c r="W15" s="79">
        <v>49200.191999999995</v>
      </c>
      <c r="X15" s="79"/>
      <c r="Y15" s="79"/>
      <c r="Z15" s="79">
        <v>32800.127999999997</v>
      </c>
      <c r="AA15" s="79"/>
      <c r="AB15" s="242">
        <f t="shared" si="0"/>
        <v>395427.74399999995</v>
      </c>
    </row>
    <row r="16" spans="1:28">
      <c r="A16" s="207" t="s">
        <v>1461</v>
      </c>
      <c r="B16" s="207" t="s">
        <v>1462</v>
      </c>
      <c r="C16" s="208">
        <v>12438.804</v>
      </c>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41">
        <f t="shared" si="0"/>
        <v>12438.804</v>
      </c>
    </row>
    <row r="17" spans="1:28">
      <c r="A17" s="209" t="s">
        <v>1463</v>
      </c>
      <c r="B17" s="209" t="s">
        <v>1464</v>
      </c>
      <c r="C17" s="79">
        <v>2191575.4875000003</v>
      </c>
      <c r="D17" s="79">
        <v>194806.71000000002</v>
      </c>
      <c r="E17" s="79">
        <v>194806.71000000002</v>
      </c>
      <c r="F17" s="79">
        <v>0</v>
      </c>
      <c r="G17" s="79">
        <v>389613.42000000004</v>
      </c>
      <c r="H17" s="79">
        <v>389613.42000000004</v>
      </c>
      <c r="I17" s="79">
        <v>292210.06500000006</v>
      </c>
      <c r="J17" s="79">
        <v>0</v>
      </c>
      <c r="K17" s="79">
        <v>389613.42000000004</v>
      </c>
      <c r="L17" s="79">
        <v>292210.06500000006</v>
      </c>
      <c r="M17" s="79">
        <v>389613.42000000004</v>
      </c>
      <c r="N17" s="79">
        <v>97403.35500000001</v>
      </c>
      <c r="O17" s="79">
        <v>194806.71000000002</v>
      </c>
      <c r="P17" s="79">
        <v>194806.71000000002</v>
      </c>
      <c r="Q17" s="79">
        <v>194806.71000000002</v>
      </c>
      <c r="R17" s="79">
        <v>292210.06500000006</v>
      </c>
      <c r="S17" s="79">
        <v>97403.35500000001</v>
      </c>
      <c r="T17" s="79">
        <v>97403.35500000001</v>
      </c>
      <c r="U17" s="79">
        <v>194806.71000000002</v>
      </c>
      <c r="V17" s="79">
        <v>146105.03250000003</v>
      </c>
      <c r="W17" s="79">
        <v>194806.71000000002</v>
      </c>
      <c r="X17" s="79">
        <v>0</v>
      </c>
      <c r="Y17" s="79">
        <v>0</v>
      </c>
      <c r="Z17" s="79">
        <v>146105.03250000003</v>
      </c>
      <c r="AA17" s="79"/>
      <c r="AB17" s="242">
        <f t="shared" si="0"/>
        <v>6574726.4625000013</v>
      </c>
    </row>
    <row r="18" spans="1:28">
      <c r="A18" s="207" t="s">
        <v>1465</v>
      </c>
      <c r="B18" s="207" t="s">
        <v>1466</v>
      </c>
      <c r="C18" s="208">
        <v>1037620.7249999999</v>
      </c>
      <c r="D18" s="208">
        <v>45255.716999999997</v>
      </c>
      <c r="E18" s="208">
        <v>45255.716999999997</v>
      </c>
      <c r="F18" s="208">
        <v>0</v>
      </c>
      <c r="G18" s="208">
        <v>45255.716999999997</v>
      </c>
      <c r="H18" s="208">
        <v>45255.716999999997</v>
      </c>
      <c r="I18" s="208">
        <v>45255.716999999997</v>
      </c>
      <c r="J18" s="208">
        <v>45255.716999999997</v>
      </c>
      <c r="K18" s="208">
        <v>45255.716999999997</v>
      </c>
      <c r="L18" s="208">
        <v>17933.093999999997</v>
      </c>
      <c r="M18" s="208">
        <v>45255.716999999997</v>
      </c>
      <c r="N18" s="208">
        <v>45255.716999999997</v>
      </c>
      <c r="O18" s="208">
        <v>22627.858499999998</v>
      </c>
      <c r="P18" s="208">
        <v>22627.858499999998</v>
      </c>
      <c r="Q18" s="208">
        <v>22627.858499999998</v>
      </c>
      <c r="R18" s="208">
        <v>45255.716999999997</v>
      </c>
      <c r="S18" s="208">
        <v>22627.858499999998</v>
      </c>
      <c r="T18" s="208">
        <v>274773.2475</v>
      </c>
      <c r="U18" s="208">
        <v>677059.34250000003</v>
      </c>
      <c r="V18" s="208">
        <v>147756.6765</v>
      </c>
      <c r="W18" s="208">
        <v>473110.40249999997</v>
      </c>
      <c r="X18" s="208">
        <v>0</v>
      </c>
      <c r="Y18" s="208">
        <v>134498.20499999999</v>
      </c>
      <c r="Z18" s="208">
        <v>392664.09375</v>
      </c>
      <c r="AA18" s="208">
        <v>0</v>
      </c>
      <c r="AB18" s="241">
        <f t="shared" si="0"/>
        <v>3698484.3907499998</v>
      </c>
    </row>
    <row r="19" spans="1:28">
      <c r="A19" s="209" t="s">
        <v>1467</v>
      </c>
      <c r="B19" s="209" t="s">
        <v>1468</v>
      </c>
      <c r="C19" s="79">
        <v>286636.04625000001</v>
      </c>
      <c r="D19" s="79">
        <v>29107.707750000001</v>
      </c>
      <c r="E19" s="79">
        <v>29107.707750000001</v>
      </c>
      <c r="F19" s="79">
        <v>0</v>
      </c>
      <c r="G19" s="79">
        <v>73229.597999999998</v>
      </c>
      <c r="H19" s="79">
        <v>73229.597999999998</v>
      </c>
      <c r="I19" s="79">
        <v>73229.597999999998</v>
      </c>
      <c r="J19" s="79">
        <v>73229.597999999998</v>
      </c>
      <c r="K19" s="79">
        <v>73229.597999999998</v>
      </c>
      <c r="L19" s="79">
        <v>73229.597999999998</v>
      </c>
      <c r="M19" s="79">
        <v>73229.597999999998</v>
      </c>
      <c r="N19" s="79">
        <v>0</v>
      </c>
      <c r="O19" s="79">
        <v>73229.597999999998</v>
      </c>
      <c r="P19" s="79">
        <v>73229.597999999998</v>
      </c>
      <c r="Q19" s="79">
        <v>73229.597999999998</v>
      </c>
      <c r="R19" s="79">
        <v>73229.597999999998</v>
      </c>
      <c r="S19" s="79">
        <v>73229.597999999998</v>
      </c>
      <c r="T19" s="79">
        <v>0</v>
      </c>
      <c r="U19" s="79">
        <v>488197.32000000007</v>
      </c>
      <c r="V19" s="79">
        <v>48819.732000000004</v>
      </c>
      <c r="W19" s="79">
        <v>388102.77</v>
      </c>
      <c r="X19" s="79">
        <v>0</v>
      </c>
      <c r="Y19" s="79">
        <v>0</v>
      </c>
      <c r="Z19" s="79">
        <v>610246.65</v>
      </c>
      <c r="AA19" s="79">
        <v>48819.732000000004</v>
      </c>
      <c r="AB19" s="242">
        <f t="shared" si="0"/>
        <v>2807792.8417500001</v>
      </c>
    </row>
    <row r="20" spans="1:28">
      <c r="A20" s="207" t="s">
        <v>1469</v>
      </c>
      <c r="B20" s="207" t="s">
        <v>1470</v>
      </c>
      <c r="C20" s="208">
        <v>487763.70750000002</v>
      </c>
      <c r="D20" s="208">
        <v>59831.811000000002</v>
      </c>
      <c r="E20" s="208">
        <v>59831.811000000002</v>
      </c>
      <c r="F20" s="208">
        <v>40971.34575</v>
      </c>
      <c r="G20" s="208">
        <v>59831.811000000002</v>
      </c>
      <c r="H20" s="208">
        <v>59831.811000000002</v>
      </c>
      <c r="I20" s="208">
        <v>59831.811000000002</v>
      </c>
      <c r="J20" s="208">
        <v>59831.811000000002</v>
      </c>
      <c r="K20" s="208">
        <v>59831.811000000002</v>
      </c>
      <c r="L20" s="208">
        <v>59831.811000000002</v>
      </c>
      <c r="M20" s="208">
        <v>59831.811000000002</v>
      </c>
      <c r="N20" s="208">
        <v>0</v>
      </c>
      <c r="O20" s="208">
        <v>59831.811000000002</v>
      </c>
      <c r="P20" s="208">
        <v>59831.811000000002</v>
      </c>
      <c r="Q20" s="208">
        <v>59831.811000000002</v>
      </c>
      <c r="R20" s="208">
        <v>59831.811000000002</v>
      </c>
      <c r="S20" s="208">
        <v>59831.811000000002</v>
      </c>
      <c r="T20" s="208">
        <v>31434.108749999999</v>
      </c>
      <c r="U20" s="208">
        <v>31434.108749999999</v>
      </c>
      <c r="V20" s="208">
        <v>18860.465250000001</v>
      </c>
      <c r="W20" s="208">
        <v>50294.574000000001</v>
      </c>
      <c r="X20" s="208">
        <v>0</v>
      </c>
      <c r="Y20" s="208">
        <v>12573.6435</v>
      </c>
      <c r="Z20" s="208">
        <v>73488.926250000004</v>
      </c>
      <c r="AA20" s="208">
        <v>0</v>
      </c>
      <c r="AB20" s="241">
        <f t="shared" si="0"/>
        <v>1584466.2337499997</v>
      </c>
    </row>
    <row r="21" spans="1:28">
      <c r="A21" s="209" t="s">
        <v>1471</v>
      </c>
      <c r="B21" s="209" t="s">
        <v>1472</v>
      </c>
      <c r="C21" s="79">
        <v>208998.42749999999</v>
      </c>
      <c r="D21" s="79">
        <v>18577.637999999999</v>
      </c>
      <c r="E21" s="79">
        <v>18577.637999999999</v>
      </c>
      <c r="F21" s="79">
        <v>0</v>
      </c>
      <c r="G21" s="79">
        <v>18577.637999999999</v>
      </c>
      <c r="H21" s="79">
        <v>18577.637999999999</v>
      </c>
      <c r="I21" s="79">
        <v>18577.637999999999</v>
      </c>
      <c r="J21" s="79">
        <v>18577.637999999999</v>
      </c>
      <c r="K21" s="79">
        <v>18577.637999999999</v>
      </c>
      <c r="L21" s="79">
        <v>18577.637999999999</v>
      </c>
      <c r="M21" s="79">
        <v>18577.637999999999</v>
      </c>
      <c r="N21" s="79">
        <v>18577.637999999999</v>
      </c>
      <c r="O21" s="79">
        <v>18577.637999999999</v>
      </c>
      <c r="P21" s="79">
        <v>18577.637999999999</v>
      </c>
      <c r="Q21" s="79">
        <v>18577.637999999999</v>
      </c>
      <c r="R21" s="79">
        <v>18577.637999999999</v>
      </c>
      <c r="S21" s="79">
        <v>18577.637999999999</v>
      </c>
      <c r="T21" s="79">
        <v>37155.275999999998</v>
      </c>
      <c r="U21" s="79">
        <v>92888.19</v>
      </c>
      <c r="V21" s="79">
        <v>69666.142500000002</v>
      </c>
      <c r="W21" s="79">
        <v>69666.142500000002</v>
      </c>
      <c r="X21" s="79">
        <v>0</v>
      </c>
      <c r="Y21" s="79">
        <v>13933.228499999999</v>
      </c>
      <c r="Z21" s="79">
        <v>83599.370999999999</v>
      </c>
      <c r="AA21" s="79">
        <v>27866.456999999999</v>
      </c>
      <c r="AB21" s="242">
        <f t="shared" si="0"/>
        <v>882437.80499999959</v>
      </c>
    </row>
    <row r="22" spans="1:28">
      <c r="A22" s="207" t="s">
        <v>1473</v>
      </c>
      <c r="B22" s="207" t="s">
        <v>1474</v>
      </c>
      <c r="C22" s="208">
        <v>672027.75900000008</v>
      </c>
      <c r="D22" s="208">
        <v>75404.933999999994</v>
      </c>
      <c r="E22" s="208">
        <v>75404.933999999994</v>
      </c>
      <c r="F22" s="208">
        <v>0</v>
      </c>
      <c r="G22" s="208">
        <v>139792.19399999999</v>
      </c>
      <c r="H22" s="208">
        <v>75404.933999999994</v>
      </c>
      <c r="I22" s="208">
        <v>139792.19399999999</v>
      </c>
      <c r="J22" s="208">
        <v>75404.933999999994</v>
      </c>
      <c r="K22" s="208">
        <v>100387.72799999999</v>
      </c>
      <c r="L22" s="208">
        <v>139792.19399999999</v>
      </c>
      <c r="M22" s="208">
        <v>139792.19399999999</v>
      </c>
      <c r="N22" s="208">
        <v>75404.933999999994</v>
      </c>
      <c r="O22" s="208">
        <v>102089.72699999998</v>
      </c>
      <c r="P22" s="208">
        <v>102089.72699999998</v>
      </c>
      <c r="Q22" s="208">
        <v>95651.000999999989</v>
      </c>
      <c r="R22" s="208">
        <v>139792.19399999999</v>
      </c>
      <c r="S22" s="208">
        <v>115742.64600000001</v>
      </c>
      <c r="T22" s="208">
        <v>83238.493499999997</v>
      </c>
      <c r="U22" s="208">
        <v>112593.78</v>
      </c>
      <c r="V22" s="208">
        <v>102089.72699999998</v>
      </c>
      <c r="W22" s="208">
        <v>160701.26850000001</v>
      </c>
      <c r="X22" s="208">
        <v>0</v>
      </c>
      <c r="Y22" s="208">
        <v>88164.051749999984</v>
      </c>
      <c r="Z22" s="208">
        <v>208947.23324999999</v>
      </c>
      <c r="AA22" s="208">
        <v>84445.335000000006</v>
      </c>
      <c r="AB22" s="241">
        <f t="shared" si="0"/>
        <v>3104154.1169999996</v>
      </c>
    </row>
    <row r="23" spans="1:28">
      <c r="A23" s="209" t="s">
        <v>1475</v>
      </c>
      <c r="B23" s="209" t="s">
        <v>1476</v>
      </c>
      <c r="C23" s="79">
        <v>16927.672500000001</v>
      </c>
      <c r="D23" s="79">
        <v>5078.3017500000005</v>
      </c>
      <c r="E23" s="79">
        <v>5078.3017500000005</v>
      </c>
      <c r="F23" s="79">
        <v>0</v>
      </c>
      <c r="G23" s="79">
        <v>5078.3017500000005</v>
      </c>
      <c r="H23" s="79">
        <v>5078.3017500000005</v>
      </c>
      <c r="I23" s="79">
        <v>5078.3017500000005</v>
      </c>
      <c r="J23" s="79">
        <v>5078.3017500000005</v>
      </c>
      <c r="K23" s="79">
        <v>5078.3017500000005</v>
      </c>
      <c r="L23" s="79">
        <v>5078.3017500000005</v>
      </c>
      <c r="M23" s="79">
        <v>5078.3017500000005</v>
      </c>
      <c r="N23" s="79">
        <v>5078.3017500000005</v>
      </c>
      <c r="O23" s="79">
        <v>5078.3017500000005</v>
      </c>
      <c r="P23" s="79">
        <v>5078.3017500000005</v>
      </c>
      <c r="Q23" s="79">
        <v>5078.3017500000005</v>
      </c>
      <c r="R23" s="79">
        <v>5078.3017500000005</v>
      </c>
      <c r="S23" s="79">
        <v>5078.3017500000005</v>
      </c>
      <c r="T23" s="79">
        <v>0</v>
      </c>
      <c r="U23" s="79">
        <v>0</v>
      </c>
      <c r="V23" s="79">
        <v>8463.8362500000003</v>
      </c>
      <c r="W23" s="79">
        <v>22005.974250000003</v>
      </c>
      <c r="X23" s="79">
        <v>0</v>
      </c>
      <c r="Y23" s="79">
        <v>5078.3017500000005</v>
      </c>
      <c r="Z23" s="79">
        <v>10156.603500000001</v>
      </c>
      <c r="AA23" s="79">
        <v>5078.3017500000005</v>
      </c>
      <c r="AB23" s="242">
        <f t="shared" si="0"/>
        <v>143885.21625</v>
      </c>
    </row>
    <row r="24" spans="1:28">
      <c r="A24" s="207" t="s">
        <v>1477</v>
      </c>
      <c r="B24" s="207" t="s">
        <v>1478</v>
      </c>
      <c r="C24" s="208">
        <v>381665.72250000003</v>
      </c>
      <c r="D24" s="208">
        <v>25444.381500000003</v>
      </c>
      <c r="E24" s="208">
        <v>25444.381500000003</v>
      </c>
      <c r="F24" s="208">
        <v>0</v>
      </c>
      <c r="G24" s="208">
        <v>25444.381500000003</v>
      </c>
      <c r="H24" s="208">
        <v>25444.381500000003</v>
      </c>
      <c r="I24" s="208">
        <v>25444.381500000003</v>
      </c>
      <c r="J24" s="208">
        <v>25444.381500000003</v>
      </c>
      <c r="K24" s="208">
        <v>25444.381500000003</v>
      </c>
      <c r="L24" s="208">
        <v>25444.381500000003</v>
      </c>
      <c r="M24" s="208">
        <v>25444.381500000003</v>
      </c>
      <c r="N24" s="208">
        <v>25444.381500000003</v>
      </c>
      <c r="O24" s="208">
        <v>25444.381500000003</v>
      </c>
      <c r="P24" s="208">
        <v>25444.381500000003</v>
      </c>
      <c r="Q24" s="208">
        <v>25444.381500000003</v>
      </c>
      <c r="R24" s="208">
        <v>25444.381500000003</v>
      </c>
      <c r="S24" s="208">
        <v>25444.381500000003</v>
      </c>
      <c r="T24" s="208">
        <v>33925.842000000004</v>
      </c>
      <c r="U24" s="208">
        <v>0</v>
      </c>
      <c r="V24" s="208">
        <v>25444.381500000003</v>
      </c>
      <c r="W24" s="208">
        <v>101777.52600000001</v>
      </c>
      <c r="X24" s="208">
        <v>0</v>
      </c>
      <c r="Y24" s="208">
        <v>25444.381500000003</v>
      </c>
      <c r="Z24" s="208">
        <v>50888.763000000006</v>
      </c>
      <c r="AA24" s="208">
        <v>0</v>
      </c>
      <c r="AB24" s="241">
        <f t="shared" si="0"/>
        <v>1000812.3390000003</v>
      </c>
    </row>
    <row r="25" spans="1:28">
      <c r="A25" s="209" t="s">
        <v>1479</v>
      </c>
      <c r="B25" s="209" t="s">
        <v>1480</v>
      </c>
      <c r="C25" s="79">
        <v>11556.4725</v>
      </c>
      <c r="D25" s="79">
        <v>6933.8834999999999</v>
      </c>
      <c r="E25" s="79">
        <v>6933.8834999999999</v>
      </c>
      <c r="F25" s="79">
        <v>0</v>
      </c>
      <c r="G25" s="79">
        <v>6933.8834999999999</v>
      </c>
      <c r="H25" s="79">
        <v>6933.8834999999999</v>
      </c>
      <c r="I25" s="79">
        <v>6933.8834999999999</v>
      </c>
      <c r="J25" s="79">
        <v>6933.8834999999999</v>
      </c>
      <c r="K25" s="79">
        <v>6933.8834999999999</v>
      </c>
      <c r="L25" s="79">
        <v>6933.8834999999999</v>
      </c>
      <c r="M25" s="79">
        <v>6933.8834999999999</v>
      </c>
      <c r="N25" s="79">
        <v>6933.8834999999999</v>
      </c>
      <c r="O25" s="79">
        <v>6933.8834999999999</v>
      </c>
      <c r="P25" s="79">
        <v>6933.8834999999999</v>
      </c>
      <c r="Q25" s="79">
        <v>6933.8834999999999</v>
      </c>
      <c r="R25" s="79">
        <v>6933.8834999999999</v>
      </c>
      <c r="S25" s="79">
        <v>6933.8834999999999</v>
      </c>
      <c r="T25" s="79">
        <v>0</v>
      </c>
      <c r="U25" s="79">
        <v>0</v>
      </c>
      <c r="V25" s="79">
        <v>0</v>
      </c>
      <c r="W25" s="79">
        <v>9245.1779999999999</v>
      </c>
      <c r="X25" s="79">
        <v>0</v>
      </c>
      <c r="Y25" s="79">
        <v>0</v>
      </c>
      <c r="Z25" s="79">
        <v>0</v>
      </c>
      <c r="AA25" s="79">
        <v>0</v>
      </c>
      <c r="AB25" s="242">
        <f t="shared" si="0"/>
        <v>124809.90299999996</v>
      </c>
    </row>
    <row r="26" spans="1:28">
      <c r="A26" s="207" t="s">
        <v>1481</v>
      </c>
      <c r="B26" s="207" t="s">
        <v>1482</v>
      </c>
      <c r="C26" s="208">
        <v>67475.7</v>
      </c>
      <c r="D26" s="208">
        <v>4048.5419999999995</v>
      </c>
      <c r="E26" s="208">
        <v>4048.5419999999995</v>
      </c>
      <c r="F26" s="208">
        <v>0</v>
      </c>
      <c r="G26" s="208">
        <v>4048.5419999999995</v>
      </c>
      <c r="H26" s="208">
        <v>4048.5419999999995</v>
      </c>
      <c r="I26" s="208">
        <v>4048.5419999999995</v>
      </c>
      <c r="J26" s="208">
        <v>4048.5419999999995</v>
      </c>
      <c r="K26" s="208">
        <v>4048.5419999999995</v>
      </c>
      <c r="L26" s="208">
        <v>4048.5419999999995</v>
      </c>
      <c r="M26" s="208">
        <v>4048.5419999999995</v>
      </c>
      <c r="N26" s="208">
        <v>4048.5419999999995</v>
      </c>
      <c r="O26" s="208">
        <v>4048.5419999999995</v>
      </c>
      <c r="P26" s="208">
        <v>4048.5419999999995</v>
      </c>
      <c r="Q26" s="208">
        <v>4048.5419999999995</v>
      </c>
      <c r="R26" s="208">
        <v>4048.5419999999995</v>
      </c>
      <c r="S26" s="208">
        <v>4048.5419999999995</v>
      </c>
      <c r="T26" s="208">
        <v>0</v>
      </c>
      <c r="U26" s="208">
        <v>6747.57</v>
      </c>
      <c r="V26" s="208">
        <v>5398.0559999999996</v>
      </c>
      <c r="W26" s="208">
        <v>16194.167999999998</v>
      </c>
      <c r="X26" s="208">
        <v>0</v>
      </c>
      <c r="Y26" s="208">
        <v>2699.0279999999998</v>
      </c>
      <c r="Z26" s="208">
        <v>6747.57</v>
      </c>
      <c r="AA26" s="208">
        <v>0</v>
      </c>
      <c r="AB26" s="241">
        <f t="shared" si="0"/>
        <v>165990.22200000004</v>
      </c>
    </row>
    <row r="27" spans="1:28">
      <c r="A27" s="209" t="s">
        <v>1483</v>
      </c>
      <c r="B27" s="209" t="s">
        <v>1484</v>
      </c>
      <c r="C27" s="79">
        <v>19189.451249999998</v>
      </c>
      <c r="D27" s="79">
        <v>11513.670749999999</v>
      </c>
      <c r="E27" s="79">
        <v>11513.670749999999</v>
      </c>
      <c r="F27" s="79">
        <v>0</v>
      </c>
      <c r="G27" s="79">
        <v>11513.670749999999</v>
      </c>
      <c r="H27" s="79">
        <v>11513.670749999999</v>
      </c>
      <c r="I27" s="79">
        <v>11513.670749999999</v>
      </c>
      <c r="J27" s="79">
        <v>11513.670749999999</v>
      </c>
      <c r="K27" s="79">
        <v>11513.670749999999</v>
      </c>
      <c r="L27" s="79">
        <v>11513.670749999999</v>
      </c>
      <c r="M27" s="79">
        <v>11513.670749999999</v>
      </c>
      <c r="N27" s="79">
        <v>11513.670749999999</v>
      </c>
      <c r="O27" s="79">
        <v>11513.670749999999</v>
      </c>
      <c r="P27" s="79">
        <v>11513.670749999999</v>
      </c>
      <c r="Q27" s="79">
        <v>11513.670749999999</v>
      </c>
      <c r="R27" s="79">
        <v>11513.670749999999</v>
      </c>
      <c r="S27" s="79">
        <v>11513.670749999999</v>
      </c>
      <c r="T27" s="79">
        <v>19189.451249999998</v>
      </c>
      <c r="U27" s="79">
        <v>0</v>
      </c>
      <c r="V27" s="79">
        <v>7675.7804999999998</v>
      </c>
      <c r="W27" s="79">
        <v>23027.341499999999</v>
      </c>
      <c r="X27" s="79">
        <v>0</v>
      </c>
      <c r="Y27" s="79">
        <v>11513.670749999999</v>
      </c>
      <c r="Z27" s="79">
        <v>0</v>
      </c>
      <c r="AA27" s="79">
        <v>0</v>
      </c>
      <c r="AB27" s="242">
        <f t="shared" si="0"/>
        <v>253300.75649999993</v>
      </c>
    </row>
    <row r="28" spans="1:28">
      <c r="A28" s="207" t="s">
        <v>1485</v>
      </c>
      <c r="B28" s="207" t="s">
        <v>1486</v>
      </c>
      <c r="C28" s="208">
        <v>172214.1</v>
      </c>
      <c r="D28" s="208">
        <v>19134.900000000001</v>
      </c>
      <c r="E28" s="208">
        <v>19134.900000000001</v>
      </c>
      <c r="F28" s="208">
        <v>0</v>
      </c>
      <c r="G28" s="208">
        <v>19134.900000000001</v>
      </c>
      <c r="H28" s="208">
        <v>19134.900000000001</v>
      </c>
      <c r="I28" s="208">
        <v>19134.900000000001</v>
      </c>
      <c r="J28" s="208">
        <v>19134.900000000001</v>
      </c>
      <c r="K28" s="208">
        <v>19134.900000000001</v>
      </c>
      <c r="L28" s="208">
        <v>19134.900000000001</v>
      </c>
      <c r="M28" s="208">
        <v>19134.900000000001</v>
      </c>
      <c r="N28" s="208">
        <v>19134.900000000001</v>
      </c>
      <c r="O28" s="208">
        <v>19134.900000000001</v>
      </c>
      <c r="P28" s="208">
        <v>19134.900000000001</v>
      </c>
      <c r="Q28" s="208">
        <v>19134.900000000001</v>
      </c>
      <c r="R28" s="208">
        <v>19134.900000000001</v>
      </c>
      <c r="S28" s="208">
        <v>19134.900000000001</v>
      </c>
      <c r="T28" s="208">
        <v>19134.900000000001</v>
      </c>
      <c r="U28" s="208">
        <v>0</v>
      </c>
      <c r="V28" s="208">
        <v>38269.800000000003</v>
      </c>
      <c r="W28" s="208">
        <v>15307.92</v>
      </c>
      <c r="X28" s="208">
        <v>0</v>
      </c>
      <c r="Y28" s="208">
        <v>0</v>
      </c>
      <c r="Z28" s="208">
        <v>0</v>
      </c>
      <c r="AA28" s="208">
        <v>0</v>
      </c>
      <c r="AB28" s="241">
        <f t="shared" si="0"/>
        <v>531950.2200000002</v>
      </c>
    </row>
    <row r="29" spans="1:28">
      <c r="A29" s="209" t="s">
        <v>1487</v>
      </c>
      <c r="B29" s="209" t="s">
        <v>1488</v>
      </c>
      <c r="C29" s="79">
        <v>340621.36199999996</v>
      </c>
      <c r="D29" s="79">
        <v>15166.925999999999</v>
      </c>
      <c r="E29" s="79">
        <v>46890.576000000001</v>
      </c>
      <c r="F29" s="79">
        <v>0</v>
      </c>
      <c r="G29" s="79">
        <v>28653.673499999997</v>
      </c>
      <c r="H29" s="79">
        <v>28653.673499999997</v>
      </c>
      <c r="I29" s="79">
        <v>28653.673499999997</v>
      </c>
      <c r="J29" s="79">
        <v>28653.673499999997</v>
      </c>
      <c r="K29" s="79">
        <v>28653.673499999997</v>
      </c>
      <c r="L29" s="79">
        <v>28653.673499999997</v>
      </c>
      <c r="M29" s="79">
        <v>28653.673499999997</v>
      </c>
      <c r="N29" s="79">
        <v>55627.1685</v>
      </c>
      <c r="O29" s="79">
        <v>28653.673499999997</v>
      </c>
      <c r="P29" s="79">
        <v>28653.673499999997</v>
      </c>
      <c r="Q29" s="79">
        <v>28653.673499999997</v>
      </c>
      <c r="R29" s="79">
        <v>28653.673499999997</v>
      </c>
      <c r="S29" s="79">
        <v>28653.673499999997</v>
      </c>
      <c r="T29" s="79">
        <v>0</v>
      </c>
      <c r="U29" s="79">
        <v>182040.87825000001</v>
      </c>
      <c r="V29" s="79">
        <v>165201.32699999999</v>
      </c>
      <c r="W29" s="79">
        <v>92704.394249999998</v>
      </c>
      <c r="X29" s="79">
        <v>0</v>
      </c>
      <c r="Y29" s="79">
        <v>35397.047250000003</v>
      </c>
      <c r="Z29" s="79">
        <v>64050.72075</v>
      </c>
      <c r="AA29" s="79">
        <v>10111.284</v>
      </c>
      <c r="AB29" s="242">
        <f t="shared" si="0"/>
        <v>1351655.7660000003</v>
      </c>
    </row>
    <row r="30" spans="1:28">
      <c r="A30" s="207" t="s">
        <v>1489</v>
      </c>
      <c r="B30" s="207" t="s">
        <v>1490</v>
      </c>
      <c r="C30" s="208">
        <v>1502223.93</v>
      </c>
      <c r="D30" s="208">
        <v>175646.63250000001</v>
      </c>
      <c r="E30" s="208">
        <v>175646.63250000001</v>
      </c>
      <c r="F30" s="208">
        <v>0</v>
      </c>
      <c r="G30" s="208">
        <v>175646.63250000001</v>
      </c>
      <c r="H30" s="208">
        <v>175646.63250000001</v>
      </c>
      <c r="I30" s="208">
        <v>175646.63250000001</v>
      </c>
      <c r="J30" s="208">
        <v>175646.63250000001</v>
      </c>
      <c r="K30" s="208">
        <v>175646.63250000001</v>
      </c>
      <c r="L30" s="208">
        <v>175646.63250000001</v>
      </c>
      <c r="M30" s="208">
        <v>129425.77799999999</v>
      </c>
      <c r="N30" s="208">
        <v>175646.63250000001</v>
      </c>
      <c r="O30" s="208">
        <v>110933.7435</v>
      </c>
      <c r="P30" s="208">
        <v>110933.7435</v>
      </c>
      <c r="Q30" s="208">
        <v>46220.854500000001</v>
      </c>
      <c r="R30" s="208">
        <v>175646.63250000001</v>
      </c>
      <c r="S30" s="208">
        <v>110933.7435</v>
      </c>
      <c r="T30" s="208">
        <v>95526.792000000001</v>
      </c>
      <c r="U30" s="208">
        <v>0</v>
      </c>
      <c r="V30" s="208">
        <v>125569.42425000001</v>
      </c>
      <c r="W30" s="208">
        <v>0</v>
      </c>
      <c r="X30" s="208">
        <v>0</v>
      </c>
      <c r="Y30" s="208">
        <v>0</v>
      </c>
      <c r="Z30" s="208">
        <v>110162.47275</v>
      </c>
      <c r="AA30" s="208">
        <v>0</v>
      </c>
      <c r="AB30" s="241">
        <f t="shared" si="0"/>
        <v>4098396.8069999986</v>
      </c>
    </row>
    <row r="31" spans="1:28">
      <c r="A31" s="209" t="s">
        <v>1491</v>
      </c>
      <c r="B31" s="209" t="s">
        <v>1492</v>
      </c>
      <c r="C31" s="79">
        <v>2133282.861</v>
      </c>
      <c r="D31" s="79">
        <v>112286.6145</v>
      </c>
      <c r="E31" s="79">
        <v>112286.6145</v>
      </c>
      <c r="F31" s="79">
        <v>0</v>
      </c>
      <c r="G31" s="79">
        <v>112286.6145</v>
      </c>
      <c r="H31" s="79">
        <v>112286.6145</v>
      </c>
      <c r="I31" s="79">
        <v>112286.6145</v>
      </c>
      <c r="J31" s="79">
        <v>112286.6145</v>
      </c>
      <c r="K31" s="79">
        <v>112286.6145</v>
      </c>
      <c r="L31" s="79">
        <v>112286.6145</v>
      </c>
      <c r="M31" s="79">
        <v>112286.6145</v>
      </c>
      <c r="N31" s="79">
        <v>112286.6145</v>
      </c>
      <c r="O31" s="79">
        <v>87602.593500000003</v>
      </c>
      <c r="P31" s="79">
        <v>87602.593500000003</v>
      </c>
      <c r="Q31" s="79">
        <v>87602.593500000003</v>
      </c>
      <c r="R31" s="79">
        <v>87602.593500000003</v>
      </c>
      <c r="S31" s="79">
        <v>87602.593500000003</v>
      </c>
      <c r="T31" s="79">
        <v>125120.4255</v>
      </c>
      <c r="U31" s="79">
        <v>50804.837999999996</v>
      </c>
      <c r="V31" s="79">
        <v>116533.21949999999</v>
      </c>
      <c r="W31" s="79">
        <v>257057.23949999997</v>
      </c>
      <c r="X31" s="79">
        <v>0</v>
      </c>
      <c r="Y31" s="79">
        <v>31512.998250000001</v>
      </c>
      <c r="Z31" s="79">
        <v>179573.48324999999</v>
      </c>
      <c r="AA31" s="79">
        <v>40565.987999999998</v>
      </c>
      <c r="AB31" s="242">
        <f t="shared" si="0"/>
        <v>4495330.1655000011</v>
      </c>
    </row>
    <row r="32" spans="1:28">
      <c r="A32" s="207" t="s">
        <v>1493</v>
      </c>
      <c r="B32" s="207" t="s">
        <v>1494</v>
      </c>
      <c r="C32" s="208">
        <v>170212.48875000002</v>
      </c>
      <c r="D32" s="208">
        <v>66700.232999999993</v>
      </c>
      <c r="E32" s="208">
        <v>66700.232999999993</v>
      </c>
      <c r="F32" s="208">
        <v>0</v>
      </c>
      <c r="G32" s="208">
        <v>66700.232999999993</v>
      </c>
      <c r="H32" s="208">
        <v>66700.232999999993</v>
      </c>
      <c r="I32" s="208">
        <v>66700.232999999993</v>
      </c>
      <c r="J32" s="208">
        <v>110705.4675</v>
      </c>
      <c r="K32" s="208">
        <v>66700.232999999993</v>
      </c>
      <c r="L32" s="208">
        <v>66700.232999999993</v>
      </c>
      <c r="M32" s="208">
        <v>66700.232999999993</v>
      </c>
      <c r="N32" s="208">
        <v>38164.893749999996</v>
      </c>
      <c r="O32" s="208">
        <v>37403.694000000003</v>
      </c>
      <c r="P32" s="208">
        <v>37403.694000000003</v>
      </c>
      <c r="Q32" s="208">
        <v>37403.694000000003</v>
      </c>
      <c r="R32" s="208">
        <v>66700.232999999993</v>
      </c>
      <c r="S32" s="208">
        <v>37403.694000000003</v>
      </c>
      <c r="T32" s="208">
        <v>39570.637499999997</v>
      </c>
      <c r="U32" s="208">
        <v>26965.102499999997</v>
      </c>
      <c r="V32" s="208">
        <v>36023.687250000003</v>
      </c>
      <c r="W32" s="208">
        <v>64391.456249999996</v>
      </c>
      <c r="X32" s="208">
        <v>0</v>
      </c>
      <c r="Y32" s="208">
        <v>24321.465</v>
      </c>
      <c r="Z32" s="208">
        <v>183798.54750000002</v>
      </c>
      <c r="AA32" s="208">
        <v>0</v>
      </c>
      <c r="AB32" s="241">
        <f t="shared" si="0"/>
        <v>1444070.6190000004</v>
      </c>
    </row>
    <row r="33" spans="1:28">
      <c r="A33" s="209" t="s">
        <v>1495</v>
      </c>
      <c r="B33" s="209" t="s">
        <v>1496</v>
      </c>
      <c r="C33" s="79">
        <v>41447.760000000002</v>
      </c>
      <c r="D33" s="79"/>
      <c r="E33" s="79"/>
      <c r="F33" s="79"/>
      <c r="G33" s="79"/>
      <c r="H33" s="79"/>
      <c r="I33" s="79"/>
      <c r="J33" s="79"/>
      <c r="K33" s="79"/>
      <c r="L33" s="79"/>
      <c r="M33" s="79"/>
      <c r="N33" s="79"/>
      <c r="O33" s="79"/>
      <c r="P33" s="79"/>
      <c r="Q33" s="79"/>
      <c r="R33" s="79"/>
      <c r="S33" s="79"/>
      <c r="T33" s="79"/>
      <c r="U33" s="79"/>
      <c r="V33" s="79"/>
      <c r="W33" s="79"/>
      <c r="X33" s="79"/>
      <c r="Y33" s="79"/>
      <c r="Z33" s="79"/>
      <c r="AA33" s="79"/>
      <c r="AB33" s="242">
        <f t="shared" si="0"/>
        <v>41447.760000000002</v>
      </c>
    </row>
    <row r="34" spans="1:28">
      <c r="A34" s="207" t="s">
        <v>1497</v>
      </c>
      <c r="B34" s="207" t="s">
        <v>1498</v>
      </c>
      <c r="C34" s="208">
        <v>20070.384000000002</v>
      </c>
      <c r="D34" s="208">
        <v>0</v>
      </c>
      <c r="E34" s="208">
        <v>0</v>
      </c>
      <c r="F34" s="208">
        <v>0</v>
      </c>
      <c r="G34" s="208">
        <v>0</v>
      </c>
      <c r="H34" s="208">
        <v>0</v>
      </c>
      <c r="I34" s="208">
        <v>0</v>
      </c>
      <c r="J34" s="208">
        <v>0</v>
      </c>
      <c r="K34" s="208">
        <v>0</v>
      </c>
      <c r="L34" s="208">
        <v>0</v>
      </c>
      <c r="M34" s="208">
        <v>0</v>
      </c>
      <c r="N34" s="208">
        <v>0</v>
      </c>
      <c r="O34" s="208">
        <v>0</v>
      </c>
      <c r="P34" s="208">
        <v>0</v>
      </c>
      <c r="Q34" s="208">
        <v>0</v>
      </c>
      <c r="R34" s="208">
        <v>0</v>
      </c>
      <c r="S34" s="208">
        <v>0</v>
      </c>
      <c r="T34" s="208">
        <v>0</v>
      </c>
      <c r="U34" s="208">
        <v>12042.2304</v>
      </c>
      <c r="V34" s="208">
        <v>0</v>
      </c>
      <c r="W34" s="208">
        <v>0</v>
      </c>
      <c r="X34" s="208">
        <v>0</v>
      </c>
      <c r="Y34" s="208">
        <v>0</v>
      </c>
      <c r="Z34" s="208">
        <v>0</v>
      </c>
      <c r="AA34" s="208">
        <v>0</v>
      </c>
      <c r="AB34" s="241">
        <f t="shared" si="0"/>
        <v>32112.614400000002</v>
      </c>
    </row>
    <row r="35" spans="1:28">
      <c r="A35" s="209" t="s">
        <v>1499</v>
      </c>
      <c r="B35" s="209" t="s">
        <v>1500</v>
      </c>
      <c r="C35" s="79">
        <v>142806.78</v>
      </c>
      <c r="D35" s="79">
        <v>0</v>
      </c>
      <c r="E35" s="79">
        <v>0</v>
      </c>
      <c r="F35" s="79">
        <v>0</v>
      </c>
      <c r="G35" s="79">
        <v>119005.65000000001</v>
      </c>
      <c r="H35" s="79">
        <v>0</v>
      </c>
      <c r="I35" s="79">
        <v>0</v>
      </c>
      <c r="J35" s="79">
        <v>0</v>
      </c>
      <c r="K35" s="79">
        <v>0</v>
      </c>
      <c r="L35" s="79">
        <v>0</v>
      </c>
      <c r="M35" s="79">
        <v>0</v>
      </c>
      <c r="N35" s="79">
        <v>0</v>
      </c>
      <c r="O35" s="79">
        <v>0</v>
      </c>
      <c r="P35" s="79">
        <v>0</v>
      </c>
      <c r="Q35" s="79">
        <v>0</v>
      </c>
      <c r="R35" s="79">
        <v>0</v>
      </c>
      <c r="S35" s="79">
        <v>0</v>
      </c>
      <c r="T35" s="79">
        <v>0</v>
      </c>
      <c r="U35" s="79">
        <v>0</v>
      </c>
      <c r="V35" s="79">
        <v>0</v>
      </c>
      <c r="W35" s="79">
        <v>23801.13</v>
      </c>
      <c r="X35" s="79">
        <v>0</v>
      </c>
      <c r="Y35" s="79">
        <v>0</v>
      </c>
      <c r="Z35" s="79">
        <v>23801.13</v>
      </c>
      <c r="AA35" s="79">
        <v>0</v>
      </c>
      <c r="AB35" s="242">
        <f t="shared" si="0"/>
        <v>309414.69</v>
      </c>
    </row>
    <row r="36" spans="1:28">
      <c r="A36" s="207" t="s">
        <v>1501</v>
      </c>
      <c r="B36" s="207" t="s">
        <v>1502</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41">
        <f t="shared" si="0"/>
        <v>0</v>
      </c>
    </row>
    <row r="37" spans="1:28">
      <c r="A37" s="209" t="s">
        <v>1503</v>
      </c>
      <c r="B37" s="209" t="s">
        <v>1504</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242">
        <f t="shared" si="0"/>
        <v>0</v>
      </c>
    </row>
    <row r="38" spans="1:28">
      <c r="A38" s="207" t="s">
        <v>1505</v>
      </c>
      <c r="B38" s="207" t="s">
        <v>1506</v>
      </c>
      <c r="C38" s="208">
        <v>96905.400000000009</v>
      </c>
      <c r="D38" s="208">
        <v>14636.52</v>
      </c>
      <c r="E38" s="208">
        <v>14636.52</v>
      </c>
      <c r="F38" s="208">
        <v>0</v>
      </c>
      <c r="G38" s="208">
        <v>14636.52</v>
      </c>
      <c r="H38" s="208">
        <v>14636.52</v>
      </c>
      <c r="I38" s="208">
        <v>14636.52</v>
      </c>
      <c r="J38" s="208">
        <v>14636.52</v>
      </c>
      <c r="K38" s="208">
        <v>14636.52</v>
      </c>
      <c r="L38" s="208">
        <v>14636.52</v>
      </c>
      <c r="M38" s="208">
        <v>14636.52</v>
      </c>
      <c r="N38" s="208">
        <v>0</v>
      </c>
      <c r="O38" s="208">
        <v>19381.080000000002</v>
      </c>
      <c r="P38" s="208">
        <v>7318.26</v>
      </c>
      <c r="Q38" s="208">
        <v>7318.26</v>
      </c>
      <c r="R38" s="208">
        <v>14636.52</v>
      </c>
      <c r="S38" s="208">
        <v>7318.26</v>
      </c>
      <c r="T38" s="208">
        <v>24226.350000000002</v>
      </c>
      <c r="U38" s="208">
        <v>9370.9536000000007</v>
      </c>
      <c r="V38" s="208">
        <v>23427.384000000002</v>
      </c>
      <c r="W38" s="208">
        <v>114368.96160000001</v>
      </c>
      <c r="X38" s="208">
        <v>0</v>
      </c>
      <c r="Y38" s="208">
        <v>0</v>
      </c>
      <c r="Z38" s="208">
        <v>32575.209000000003</v>
      </c>
      <c r="AA38" s="208">
        <v>3659.13</v>
      </c>
      <c r="AB38" s="241">
        <f t="shared" si="0"/>
        <v>492234.4482000001</v>
      </c>
    </row>
    <row r="39" spans="1:28">
      <c r="A39" s="209" t="s">
        <v>1507</v>
      </c>
      <c r="B39" s="209" t="s">
        <v>1508</v>
      </c>
      <c r="C39" s="79">
        <v>0</v>
      </c>
      <c r="D39" s="79">
        <v>0</v>
      </c>
      <c r="E39" s="79">
        <v>0</v>
      </c>
      <c r="F39" s="79">
        <v>0</v>
      </c>
      <c r="G39" s="79">
        <v>0</v>
      </c>
      <c r="H39" s="79">
        <v>0</v>
      </c>
      <c r="I39" s="79">
        <v>0</v>
      </c>
      <c r="J39" s="79">
        <v>0</v>
      </c>
      <c r="K39" s="79">
        <v>0</v>
      </c>
      <c r="L39" s="79">
        <v>0</v>
      </c>
      <c r="M39" s="79">
        <v>0</v>
      </c>
      <c r="N39" s="79">
        <v>0</v>
      </c>
      <c r="O39" s="79">
        <v>0</v>
      </c>
      <c r="P39" s="79">
        <v>0</v>
      </c>
      <c r="Q39" s="79">
        <v>0</v>
      </c>
      <c r="R39" s="79">
        <v>0</v>
      </c>
      <c r="S39" s="79">
        <v>0</v>
      </c>
      <c r="T39" s="79">
        <v>12998.304</v>
      </c>
      <c r="U39" s="79">
        <v>0</v>
      </c>
      <c r="V39" s="79">
        <v>0</v>
      </c>
      <c r="W39" s="79">
        <v>26132.678400000001</v>
      </c>
      <c r="X39" s="79">
        <v>0</v>
      </c>
      <c r="Y39" s="79">
        <v>0</v>
      </c>
      <c r="Z39" s="79">
        <v>36667.392</v>
      </c>
      <c r="AA39" s="79">
        <v>0</v>
      </c>
      <c r="AB39" s="242">
        <f t="shared" si="0"/>
        <v>75798.374400000001</v>
      </c>
    </row>
    <row r="40" spans="1:28">
      <c r="A40" s="207" t="s">
        <v>1509</v>
      </c>
      <c r="B40" s="207" t="s">
        <v>1510</v>
      </c>
      <c r="C40" s="208">
        <v>54640.77</v>
      </c>
      <c r="D40" s="208">
        <v>9667.7124000000003</v>
      </c>
      <c r="E40" s="208">
        <v>9089.8608000000004</v>
      </c>
      <c r="F40" s="208">
        <v>0</v>
      </c>
      <c r="G40" s="208">
        <v>9089.8608000000004</v>
      </c>
      <c r="H40" s="208">
        <v>9089.8608000000004</v>
      </c>
      <c r="I40" s="208">
        <v>9089.8608000000004</v>
      </c>
      <c r="J40" s="208">
        <v>9089.8608000000004</v>
      </c>
      <c r="K40" s="208">
        <v>9089.8608000000004</v>
      </c>
      <c r="L40" s="208">
        <v>7628.8943999999992</v>
      </c>
      <c r="M40" s="208">
        <v>9089.8608000000004</v>
      </c>
      <c r="N40" s="208">
        <v>8715.6671999999999</v>
      </c>
      <c r="O40" s="208">
        <v>12383.973</v>
      </c>
      <c r="P40" s="208">
        <v>6311.16</v>
      </c>
      <c r="Q40" s="208">
        <v>4975.5216</v>
      </c>
      <c r="R40" s="208">
        <v>9089.8608000000004</v>
      </c>
      <c r="S40" s="208">
        <v>4975.5216</v>
      </c>
      <c r="T40" s="208">
        <v>7850.9040000000005</v>
      </c>
      <c r="U40" s="208">
        <v>10679.736000000001</v>
      </c>
      <c r="V40" s="208">
        <v>26999.231999999996</v>
      </c>
      <c r="W40" s="208">
        <v>9297.5471999999972</v>
      </c>
      <c r="X40" s="208">
        <v>0</v>
      </c>
      <c r="Y40" s="208">
        <v>16984.181999999997</v>
      </c>
      <c r="Z40" s="208">
        <v>7868.8079999999991</v>
      </c>
      <c r="AA40" s="208">
        <v>6600.3096000000005</v>
      </c>
      <c r="AB40" s="241">
        <f t="shared" si="0"/>
        <v>268298.82539999997</v>
      </c>
    </row>
    <row r="41" spans="1:28">
      <c r="A41" s="209" t="s">
        <v>1511</v>
      </c>
      <c r="B41" s="209" t="s">
        <v>1512</v>
      </c>
      <c r="C41" s="79">
        <v>0</v>
      </c>
      <c r="D41" s="79">
        <v>0</v>
      </c>
      <c r="E41" s="79">
        <v>0</v>
      </c>
      <c r="F41" s="79">
        <v>0</v>
      </c>
      <c r="G41" s="79">
        <v>0</v>
      </c>
      <c r="H41" s="79">
        <v>0</v>
      </c>
      <c r="I41" s="79">
        <v>0</v>
      </c>
      <c r="J41" s="79">
        <v>0</v>
      </c>
      <c r="K41" s="79">
        <v>0</v>
      </c>
      <c r="L41" s="79">
        <v>0</v>
      </c>
      <c r="M41" s="79">
        <v>0</v>
      </c>
      <c r="N41" s="79">
        <v>0</v>
      </c>
      <c r="O41" s="79">
        <v>0</v>
      </c>
      <c r="P41" s="79">
        <v>0</v>
      </c>
      <c r="Q41" s="79">
        <v>0</v>
      </c>
      <c r="R41" s="79">
        <v>0</v>
      </c>
      <c r="S41" s="79">
        <v>0</v>
      </c>
      <c r="T41" s="79">
        <v>42942.184500000003</v>
      </c>
      <c r="U41" s="79">
        <v>42008.658750000002</v>
      </c>
      <c r="V41" s="79">
        <v>42942.184500000003</v>
      </c>
      <c r="W41" s="79">
        <v>29872.824000000001</v>
      </c>
      <c r="X41" s="79">
        <v>0</v>
      </c>
      <c r="Y41" s="79">
        <v>0</v>
      </c>
      <c r="Z41" s="79">
        <v>33980.337299999999</v>
      </c>
      <c r="AA41" s="79">
        <v>0</v>
      </c>
      <c r="AB41" s="242">
        <f t="shared" si="0"/>
        <v>191746.18904999999</v>
      </c>
    </row>
    <row r="42" spans="1:28">
      <c r="A42" s="207" t="s">
        <v>1513</v>
      </c>
      <c r="B42" s="207" t="s">
        <v>1514</v>
      </c>
      <c r="C42" s="208">
        <v>1227288.7632000002</v>
      </c>
      <c r="D42" s="208">
        <v>5547.5543999999991</v>
      </c>
      <c r="E42" s="208">
        <v>4588.7951999999996</v>
      </c>
      <c r="F42" s="208">
        <v>5752.5551999999998</v>
      </c>
      <c r="G42" s="208">
        <v>6506.3135999999995</v>
      </c>
      <c r="H42" s="208">
        <v>8423.8319999999985</v>
      </c>
      <c r="I42" s="208">
        <v>6506.3135999999995</v>
      </c>
      <c r="J42" s="208">
        <v>4588.7951999999996</v>
      </c>
      <c r="K42" s="208">
        <v>6506.3135999999995</v>
      </c>
      <c r="L42" s="208">
        <v>16093.905599999998</v>
      </c>
      <c r="M42" s="208">
        <v>6506.3135999999995</v>
      </c>
      <c r="N42" s="208">
        <v>4588.7951999999996</v>
      </c>
      <c r="O42" s="208">
        <v>4588.7951999999996</v>
      </c>
      <c r="P42" s="208">
        <v>4588.7951999999996</v>
      </c>
      <c r="Q42" s="208">
        <v>4588.7951999999996</v>
      </c>
      <c r="R42" s="208">
        <v>4588.7951999999996</v>
      </c>
      <c r="S42" s="208">
        <v>4588.7951999999996</v>
      </c>
      <c r="T42" s="208">
        <v>1917.5183999999999</v>
      </c>
      <c r="U42" s="208">
        <v>1917.5183999999999</v>
      </c>
      <c r="V42" s="208">
        <v>7260.0719999999992</v>
      </c>
      <c r="W42" s="208">
        <v>249140.4264</v>
      </c>
      <c r="X42" s="208">
        <v>1917.5183999999999</v>
      </c>
      <c r="Y42" s="208">
        <v>1917.5183999999999</v>
      </c>
      <c r="Z42" s="208">
        <v>8595.7103999999999</v>
      </c>
      <c r="AA42" s="208">
        <v>1917.5183999999999</v>
      </c>
      <c r="AB42" s="241">
        <f t="shared" si="0"/>
        <v>1600426.0272000001</v>
      </c>
    </row>
    <row r="43" spans="1:28">
      <c r="A43" s="209" t="s">
        <v>1515</v>
      </c>
      <c r="B43" s="209" t="s">
        <v>1516</v>
      </c>
      <c r="C43" s="79">
        <v>2477567.0774049996</v>
      </c>
      <c r="D43" s="79">
        <v>563735.75069999998</v>
      </c>
      <c r="E43" s="79">
        <v>418614.15135</v>
      </c>
      <c r="F43" s="79">
        <v>179964.68565000006</v>
      </c>
      <c r="G43" s="79">
        <v>394168.70114999998</v>
      </c>
      <c r="H43" s="79">
        <v>216863.35629999998</v>
      </c>
      <c r="I43" s="79">
        <v>216863.35629999998</v>
      </c>
      <c r="J43" s="79">
        <v>354477.93899999995</v>
      </c>
      <c r="K43" s="79">
        <v>223399.32339999999</v>
      </c>
      <c r="L43" s="79">
        <v>302634.37059999997</v>
      </c>
      <c r="M43" s="79">
        <v>205736.57979999998</v>
      </c>
      <c r="N43" s="79">
        <v>218908.72044999999</v>
      </c>
      <c r="O43" s="79">
        <v>132982.38894999999</v>
      </c>
      <c r="P43" s="79">
        <v>136396.7377</v>
      </c>
      <c r="Q43" s="79">
        <v>110391.45745</v>
      </c>
      <c r="R43" s="79">
        <v>146078.2138</v>
      </c>
      <c r="S43" s="79">
        <v>137079.10389999999</v>
      </c>
      <c r="T43" s="79">
        <v>336299.038</v>
      </c>
      <c r="U43" s="79">
        <v>166220.04595</v>
      </c>
      <c r="V43" s="79">
        <v>167592.94704999999</v>
      </c>
      <c r="W43" s="79">
        <v>149811.4216</v>
      </c>
      <c r="X43" s="79">
        <v>169321.07470000003</v>
      </c>
      <c r="Y43" s="79">
        <v>137201.57845</v>
      </c>
      <c r="Z43" s="79">
        <v>113472.73585000001</v>
      </c>
      <c r="AA43" s="79">
        <v>175492.52755</v>
      </c>
      <c r="AB43" s="242">
        <f t="shared" si="0"/>
        <v>7851273.2830549991</v>
      </c>
    </row>
    <row r="44" spans="1:28">
      <c r="A44" s="207" t="s">
        <v>1517</v>
      </c>
      <c r="B44" s="207" t="s">
        <v>1518</v>
      </c>
      <c r="C44" s="208">
        <v>132446702.01600002</v>
      </c>
      <c r="D44" s="208">
        <v>44148900.671999998</v>
      </c>
      <c r="E44" s="208">
        <v>13796531.460000001</v>
      </c>
      <c r="F44" s="208">
        <v>5518612.5839999998</v>
      </c>
      <c r="G44" s="208">
        <v>34767259.279200003</v>
      </c>
      <c r="H44" s="208">
        <v>24833756.627999999</v>
      </c>
      <c r="I44" s="208">
        <v>21246658.448400002</v>
      </c>
      <c r="J44" s="208">
        <v>12416878.313999999</v>
      </c>
      <c r="K44" s="208">
        <v>19315144.044</v>
      </c>
      <c r="L44" s="208">
        <v>27593062.920000002</v>
      </c>
      <c r="M44" s="208">
        <v>29984461.706400003</v>
      </c>
      <c r="N44" s="208">
        <v>5518612.5839999998</v>
      </c>
      <c r="O44" s="208">
        <v>5518612.5839999998</v>
      </c>
      <c r="P44" s="208">
        <v>8277918.8760000011</v>
      </c>
      <c r="Q44" s="208">
        <v>8277918.8760000011</v>
      </c>
      <c r="R44" s="208">
        <v>14072462.089200001</v>
      </c>
      <c r="S44" s="208">
        <v>2759306.2919999999</v>
      </c>
      <c r="T44" s="208">
        <v>19315144.044</v>
      </c>
      <c r="U44" s="208">
        <v>11681063.3028</v>
      </c>
      <c r="V44" s="208">
        <v>11037225.168</v>
      </c>
      <c r="W44" s="208">
        <v>8277918.8760000011</v>
      </c>
      <c r="X44" s="208">
        <v>8277918.8760000011</v>
      </c>
      <c r="Y44" s="208">
        <v>11037225.168</v>
      </c>
      <c r="Z44" s="208">
        <v>5518612.5839999998</v>
      </c>
      <c r="AA44" s="208">
        <v>5518612.5839999998</v>
      </c>
      <c r="AB44" s="241">
        <f t="shared" si="0"/>
        <v>491156519.97599989</v>
      </c>
    </row>
    <row r="45" spans="1:28">
      <c r="A45" s="239" t="s">
        <v>1535</v>
      </c>
      <c r="B45" s="239" t="s">
        <v>1535</v>
      </c>
      <c r="C45" s="240">
        <f>SUM(C2:C44)</f>
        <v>156660010.76825503</v>
      </c>
      <c r="D45" s="240">
        <f t="shared" ref="D45:AB45" si="1">SUM(D2:D44)</f>
        <v>47018515.410300002</v>
      </c>
      <c r="E45" s="240">
        <f t="shared" si="1"/>
        <v>16426029.9474</v>
      </c>
      <c r="F45" s="240">
        <f t="shared" si="1"/>
        <v>5753549.3196</v>
      </c>
      <c r="G45" s="240">
        <f t="shared" si="1"/>
        <v>38547075.835050002</v>
      </c>
      <c r="H45" s="240">
        <f t="shared" si="1"/>
        <v>27955675.354899999</v>
      </c>
      <c r="I45" s="240">
        <f t="shared" si="1"/>
        <v>24366105.751900002</v>
      </c>
      <c r="J45" s="240">
        <f t="shared" si="1"/>
        <v>14468390.4738</v>
      </c>
      <c r="K45" s="240">
        <f t="shared" si="1"/>
        <v>22624031.781100001</v>
      </c>
      <c r="L45" s="240">
        <f t="shared" si="1"/>
        <v>30596177.416900001</v>
      </c>
      <c r="M45" s="240">
        <f t="shared" si="1"/>
        <v>33148671.247900002</v>
      </c>
      <c r="N45" s="240">
        <f t="shared" si="1"/>
        <v>6999658.8048999999</v>
      </c>
      <c r="O45" s="240">
        <f t="shared" si="1"/>
        <v>7448381.1059499998</v>
      </c>
      <c r="P45" s="240">
        <f t="shared" si="1"/>
        <v>9942223.3912000004</v>
      </c>
      <c r="Q45" s="240">
        <f t="shared" si="1"/>
        <v>9846116.0060500018</v>
      </c>
      <c r="R45" s="240">
        <f t="shared" si="1"/>
        <v>16868030.956300002</v>
      </c>
      <c r="S45" s="240">
        <f t="shared" si="1"/>
        <v>4211718.3100000005</v>
      </c>
      <c r="T45" s="240">
        <f t="shared" si="1"/>
        <v>21476073.124150001</v>
      </c>
      <c r="U45" s="240">
        <f t="shared" si="1"/>
        <v>15068106.196150001</v>
      </c>
      <c r="V45" s="240">
        <f t="shared" si="1"/>
        <v>13777705.72105</v>
      </c>
      <c r="W45" s="240">
        <f t="shared" si="1"/>
        <v>13213091.44345</v>
      </c>
      <c r="X45" s="240">
        <f t="shared" si="1"/>
        <v>8449157.4691000003</v>
      </c>
      <c r="Y45" s="240">
        <f t="shared" si="1"/>
        <v>12265909.6972</v>
      </c>
      <c r="Z45" s="240">
        <f t="shared" si="1"/>
        <v>9078852.2831499986</v>
      </c>
      <c r="AA45" s="240">
        <f t="shared" si="1"/>
        <v>5934276.1375000002</v>
      </c>
      <c r="AB45" s="240">
        <f t="shared" si="1"/>
        <v>572143533.95325494</v>
      </c>
    </row>
    <row r="47" spans="1:28">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row>
    <row r="48" spans="1:28">
      <c r="C48" s="121"/>
    </row>
    <row r="49" spans="3:28">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row>
    <row r="51" spans="3:28">
      <c r="AB51" s="121"/>
    </row>
  </sheetData>
  <autoFilter ref="A1:AB4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9993AD-4057-4909-84C3-59A3FC3AA153}">
  <ds:schemaRefs>
    <ds:schemaRef ds:uri="http://purl.org/dc/elements/1.1/"/>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 ds:uri="ab0bac37-3013-4525-8120-cfae50e61977"/>
    <ds:schemaRef ds:uri="http://schemas.openxmlformats.org/package/2006/metadata/core-properties"/>
    <ds:schemaRef ds:uri="e5336ff3-aa5d-469a-9ce7-f2d9e197e9e7"/>
    <ds:schemaRef ds:uri="http://schemas.microsoft.com/office/2006/metadata/properties"/>
  </ds:schemaRefs>
</ds:datastoreItem>
</file>

<file path=customXml/itemProps2.xml><?xml version="1.0" encoding="utf-8"?>
<ds:datastoreItem xmlns:ds="http://schemas.openxmlformats.org/officeDocument/2006/customXml" ds:itemID="{781D5190-2618-4D63-B6D0-510A950DBB34}">
  <ds:schemaRefs>
    <ds:schemaRef ds:uri="http://schemas.microsoft.com/sharepoint/v3/contenttype/forms"/>
  </ds:schemaRefs>
</ds:datastoreItem>
</file>

<file path=customXml/itemProps3.xml><?xml version="1.0" encoding="utf-8"?>
<ds:datastoreItem xmlns:ds="http://schemas.openxmlformats.org/officeDocument/2006/customXml" ds:itemID="{BF392AE0-744C-49C7-A994-AA4BE6AA6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ENTREGA MAQUINARIA </vt:lpstr>
      <vt:lpstr>PERSONAL </vt:lpstr>
      <vt:lpstr>insumos abril </vt:lpstr>
      <vt:lpstr>PERSONAL rev SS Danna</vt:lpstr>
      <vt:lpstr>ENTREGA EN MAquinaria</vt:lpstr>
      <vt:lpstr>centro de costos </vt:lpstr>
      <vt:lpstr>liquidacion de personal Danna</vt:lpstr>
      <vt:lpstr>INSUMOS A CORREGIR</vt:lpstr>
      <vt:lpstr>Factura rubros</vt:lpstr>
      <vt:lpstr>rubros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Jeanneth Perilla Tello</dc:creator>
  <cp:keywords/>
  <dc:description/>
  <cp:lastModifiedBy>Danna Salomé Martínez Ramírez</cp:lastModifiedBy>
  <cp:revision/>
  <dcterms:created xsi:type="dcterms:W3CDTF">2023-06-21T16:02:26Z</dcterms:created>
  <dcterms:modified xsi:type="dcterms:W3CDTF">2024-08-23T21:47:56Z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2023-10-30T19:54:39Z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3eb7b19a-6d6f-4599-a611-c686cd1c6471</vt:lpwstr>
  </property>
  <property fmtid="{D5CDD505-2E9C-101B-9397-08002B2CF9AE}" pid="8" name="MSIP_Label_5fac521f-e930-485b-97f4-efbe7db8e98f_ContentBits">
    <vt:lpwstr>0</vt:lpwstr>
  </property>
  <property fmtid="{D5CDD505-2E9C-101B-9397-08002B2CF9AE}" pid="9" name="ContentTypeId">
    <vt:lpwstr>0x01010005E13255BBDAFA4A8B496E899E524830</vt:lpwstr>
  </property>
</Properties>
</file>